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UB trình\TT điều chỉnh nghị quyết 21 KTXH\"/>
    </mc:Choice>
  </mc:AlternateContent>
  <bookViews>
    <workbookView xWindow="0" yWindow="0" windowWidth="15345" windowHeight="8805" activeTab="1"/>
  </bookViews>
  <sheets>
    <sheet name="Sheet1" sheetId="1" r:id="rId1"/>
    <sheet name="bảng tính điều chỉnh" sheetId="3" r:id="rId2"/>
    <sheet name="bảng tính giá trị" sheetId="2" state="hidden" r:id="rId3"/>
  </sheets>
  <definedNames>
    <definedName name="_xlnm.Print_Area" localSheetId="0">Sheet1!$A$1:$K$177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3" l="1"/>
  <c r="I14" i="3" s="1"/>
  <c r="G20" i="3"/>
  <c r="I20" i="3" s="1"/>
  <c r="G23" i="3"/>
  <c r="I23" i="3" s="1"/>
  <c r="G25" i="3"/>
  <c r="G26" i="3"/>
  <c r="I26" i="3" s="1"/>
  <c r="G30" i="3"/>
  <c r="I30" i="3" s="1"/>
  <c r="G31" i="3"/>
  <c r="I31" i="3" s="1"/>
  <c r="I40" i="3"/>
  <c r="G39" i="3"/>
  <c r="I39" i="3" s="1"/>
  <c r="G38" i="3"/>
  <c r="I38" i="3" s="1"/>
  <c r="G36" i="3"/>
  <c r="H35" i="3"/>
  <c r="I34" i="3"/>
  <c r="G42" i="3"/>
  <c r="I42" i="3" s="1"/>
  <c r="I41" i="3" s="1"/>
  <c r="I36" i="3"/>
  <c r="I35" i="3"/>
  <c r="I25" i="3"/>
  <c r="F7" i="3"/>
  <c r="E120" i="1"/>
  <c r="E116" i="1"/>
  <c r="E114" i="1"/>
  <c r="I37" i="3" l="1"/>
  <c r="I33" i="3" s="1"/>
  <c r="I10" i="3" s="1"/>
  <c r="E11" i="1" s="1"/>
  <c r="E55" i="1" l="1"/>
  <c r="E43" i="1"/>
  <c r="G16" i="3" s="1"/>
  <c r="I16" i="3" s="1"/>
  <c r="E30" i="1"/>
  <c r="E117" i="1" l="1"/>
  <c r="D117" i="1"/>
  <c r="F117" i="1" s="1"/>
  <c r="G117" i="1" l="1"/>
  <c r="E112" i="1"/>
  <c r="D112" i="1"/>
  <c r="F112" i="1" s="1"/>
  <c r="G112" i="1" l="1"/>
  <c r="E118" i="1"/>
  <c r="G118" i="1" s="1"/>
  <c r="F115" i="1"/>
  <c r="F113" i="1"/>
  <c r="G115" i="1"/>
  <c r="G113" i="1"/>
  <c r="G116" i="1"/>
  <c r="G114" i="1"/>
  <c r="D116" i="1"/>
  <c r="F116" i="1" s="1"/>
  <c r="D114" i="1"/>
  <c r="F114" i="1" s="1"/>
  <c r="G39" i="2" l="1"/>
  <c r="G38" i="2"/>
  <c r="H35" i="2"/>
  <c r="I34" i="2"/>
  <c r="G36" i="2"/>
  <c r="I40" i="2"/>
  <c r="E67" i="1" l="1"/>
  <c r="F68" i="1"/>
  <c r="G23" i="2" s="1"/>
  <c r="H68" i="1"/>
  <c r="G67" i="1" l="1"/>
  <c r="G22" i="3"/>
  <c r="I22" i="3" s="1"/>
  <c r="J88" i="1"/>
  <c r="J90" i="1"/>
  <c r="G177" i="1"/>
  <c r="G176" i="1"/>
  <c r="G172" i="1"/>
  <c r="G173" i="1"/>
  <c r="G174" i="1"/>
  <c r="G175" i="1"/>
  <c r="G171" i="1"/>
  <c r="G165" i="1"/>
  <c r="G166" i="1"/>
  <c r="G167" i="1"/>
  <c r="G168" i="1"/>
  <c r="G169" i="1"/>
  <c r="G164" i="1"/>
  <c r="F166" i="1"/>
  <c r="F167" i="1"/>
  <c r="F168" i="1"/>
  <c r="F169" i="1"/>
  <c r="F165" i="1"/>
  <c r="F164" i="1"/>
  <c r="G161" i="1"/>
  <c r="G162" i="1"/>
  <c r="G160" i="1"/>
  <c r="G157" i="1"/>
  <c r="G158" i="1"/>
  <c r="G159" i="1"/>
  <c r="G156" i="1"/>
  <c r="J152" i="1"/>
  <c r="G143" i="1"/>
  <c r="G144" i="1"/>
  <c r="G145" i="1"/>
  <c r="G146" i="1"/>
  <c r="G147" i="1"/>
  <c r="G148" i="1"/>
  <c r="G149" i="1"/>
  <c r="G150" i="1"/>
  <c r="G151" i="1"/>
  <c r="G152" i="1"/>
  <c r="G153" i="1"/>
  <c r="G154" i="1"/>
  <c r="G142" i="1"/>
  <c r="G138" i="1"/>
  <c r="G139" i="1"/>
  <c r="G140" i="1"/>
  <c r="G136" i="1"/>
  <c r="G137" i="1"/>
  <c r="G135" i="1"/>
  <c r="G134" i="1"/>
  <c r="G133" i="1"/>
  <c r="G131" i="1"/>
  <c r="G130" i="1"/>
  <c r="G126" i="1"/>
  <c r="G127" i="1"/>
  <c r="G125" i="1"/>
  <c r="G129" i="1"/>
  <c r="G128" i="1"/>
  <c r="G121" i="1"/>
  <c r="G122" i="1"/>
  <c r="G123" i="1"/>
  <c r="G124" i="1"/>
  <c r="G120" i="1"/>
  <c r="J109" i="1"/>
  <c r="G102" i="1"/>
  <c r="G103" i="1"/>
  <c r="G104" i="1"/>
  <c r="G105" i="1"/>
  <c r="G106" i="1"/>
  <c r="G107" i="1"/>
  <c r="G109" i="1"/>
  <c r="G110" i="1"/>
  <c r="G111" i="1"/>
  <c r="G101" i="1"/>
  <c r="G98" i="1"/>
  <c r="G97" i="1"/>
  <c r="G94" i="1"/>
  <c r="G95" i="1"/>
  <c r="G93" i="1"/>
  <c r="J87" i="1"/>
  <c r="G87" i="1"/>
  <c r="J86" i="1"/>
  <c r="G86" i="1"/>
  <c r="J85" i="1"/>
  <c r="J83" i="1"/>
  <c r="G83" i="1"/>
  <c r="G81" i="1"/>
  <c r="J70" i="1"/>
  <c r="G71" i="1"/>
  <c r="G75" i="1"/>
  <c r="G77" i="1"/>
  <c r="G78" i="1"/>
  <c r="G79" i="1"/>
  <c r="G70" i="1"/>
  <c r="G68" i="1"/>
  <c r="J60" i="1"/>
  <c r="G60" i="1"/>
  <c r="G50" i="1"/>
  <c r="G51" i="1"/>
  <c r="G52" i="1"/>
  <c r="G53" i="1"/>
  <c r="G41" i="1"/>
  <c r="G29" i="1"/>
  <c r="G35" i="1"/>
  <c r="G14" i="1"/>
  <c r="G11" i="1" l="1"/>
  <c r="F106" i="1" l="1"/>
  <c r="F102" i="1"/>
  <c r="F103" i="1"/>
  <c r="F104" i="1"/>
  <c r="F105" i="1"/>
  <c r="F101" i="1"/>
  <c r="J101" i="1" s="1"/>
  <c r="F121" i="1"/>
  <c r="J121" i="1" s="1"/>
  <c r="F122" i="1"/>
  <c r="J122" i="1" s="1"/>
  <c r="F123" i="1"/>
  <c r="J123" i="1" s="1"/>
  <c r="F124" i="1"/>
  <c r="F120" i="1"/>
  <c r="J120" i="1" s="1"/>
  <c r="F111" i="1"/>
  <c r="F110" i="1"/>
  <c r="F157" i="1"/>
  <c r="F158" i="1"/>
  <c r="F156" i="1"/>
  <c r="F151" i="1"/>
  <c r="F153" i="1"/>
  <c r="F154" i="1"/>
  <c r="F150" i="1"/>
  <c r="G25" i="2" l="1"/>
  <c r="I25" i="2" s="1"/>
  <c r="G16" i="2"/>
  <c r="I16" i="2" s="1"/>
  <c r="G13" i="2"/>
  <c r="I13" i="2" s="1"/>
  <c r="I39" i="2"/>
  <c r="I38" i="2"/>
  <c r="I36" i="2"/>
  <c r="I35" i="2"/>
  <c r="F7" i="2"/>
  <c r="I37" i="2" l="1"/>
  <c r="I33" i="2" s="1"/>
  <c r="F79" i="1" s="1"/>
  <c r="F75" i="1"/>
  <c r="J75" i="1" s="1"/>
  <c r="F81" i="1"/>
  <c r="F52" i="1"/>
  <c r="J52" i="1" s="1"/>
  <c r="F35" i="1"/>
  <c r="J35" i="1" s="1"/>
  <c r="R177" i="1"/>
  <c r="H172" i="1"/>
  <c r="H171" i="1"/>
  <c r="R161" i="1"/>
  <c r="R160" i="1"/>
  <c r="R159" i="1"/>
  <c r="R158" i="1"/>
  <c r="R157" i="1"/>
  <c r="R131" i="1"/>
  <c r="R130" i="1"/>
  <c r="R129" i="1"/>
  <c r="R128" i="1"/>
  <c r="R127" i="1"/>
  <c r="R126" i="1"/>
  <c r="R125" i="1"/>
  <c r="R124" i="1"/>
  <c r="R123" i="1"/>
  <c r="I123" i="1"/>
  <c r="R122" i="1"/>
  <c r="R111" i="1"/>
  <c r="R110" i="1"/>
  <c r="R109" i="1"/>
  <c r="R108" i="1"/>
  <c r="R107" i="1"/>
  <c r="R106" i="1"/>
  <c r="R105" i="1"/>
  <c r="I105" i="1"/>
  <c r="R104" i="1"/>
  <c r="I104" i="1"/>
  <c r="R103" i="1"/>
  <c r="R102" i="1"/>
  <c r="R101" i="1"/>
  <c r="I101" i="1"/>
  <c r="R100" i="1"/>
  <c r="R99" i="1"/>
  <c r="R98" i="1"/>
  <c r="F98" i="1"/>
  <c r="J98" i="1" s="1"/>
  <c r="R97" i="1"/>
  <c r="F97" i="1"/>
  <c r="J97" i="1" s="1"/>
  <c r="R96" i="1"/>
  <c r="R95" i="1"/>
  <c r="I95" i="1"/>
  <c r="F95" i="1"/>
  <c r="J95" i="1" s="1"/>
  <c r="R94" i="1"/>
  <c r="I94" i="1"/>
  <c r="F94" i="1"/>
  <c r="J94" i="1" s="1"/>
  <c r="S93" i="1"/>
  <c r="R93" i="1"/>
  <c r="I93" i="1"/>
  <c r="F93" i="1"/>
  <c r="J93" i="1" s="1"/>
  <c r="R92" i="1"/>
  <c r="R91" i="1"/>
  <c r="R90" i="1"/>
  <c r="I90" i="1"/>
  <c r="R89" i="1"/>
  <c r="P89" i="1"/>
  <c r="I89" i="1"/>
  <c r="R88" i="1"/>
  <c r="P88" i="1"/>
  <c r="I88" i="1"/>
  <c r="R87" i="1"/>
  <c r="P87" i="1"/>
  <c r="R86" i="1"/>
  <c r="P86" i="1"/>
  <c r="I86" i="1"/>
  <c r="R85" i="1"/>
  <c r="P85" i="1"/>
  <c r="R84" i="1"/>
  <c r="P84" i="1"/>
  <c r="H84" i="1"/>
  <c r="D84" i="1"/>
  <c r="R83" i="1"/>
  <c r="H83" i="1"/>
  <c r="D83" i="1"/>
  <c r="R82" i="1"/>
  <c r="O82" i="1"/>
  <c r="I82" i="1"/>
  <c r="R81" i="1"/>
  <c r="O81" i="1"/>
  <c r="D81" i="1"/>
  <c r="I81" i="1" s="1"/>
  <c r="R80" i="1"/>
  <c r="O80" i="1"/>
  <c r="I80" i="1"/>
  <c r="R79" i="1"/>
  <c r="O79" i="1"/>
  <c r="H79" i="1"/>
  <c r="I79" i="1" s="1"/>
  <c r="R78" i="1"/>
  <c r="O78" i="1"/>
  <c r="H78" i="1"/>
  <c r="F78" i="1"/>
  <c r="R77" i="1"/>
  <c r="O77" i="1"/>
  <c r="H77" i="1"/>
  <c r="F77" i="1"/>
  <c r="R76" i="1"/>
  <c r="O76" i="1"/>
  <c r="E76" i="1"/>
  <c r="D76" i="1"/>
  <c r="D74" i="1" s="1"/>
  <c r="X75" i="1"/>
  <c r="H75" i="1" s="1"/>
  <c r="I75" i="1" s="1"/>
  <c r="R75" i="1"/>
  <c r="O75" i="1"/>
  <c r="R74" i="1"/>
  <c r="O74" i="1"/>
  <c r="R73" i="1"/>
  <c r="O73" i="1"/>
  <c r="R72" i="1"/>
  <c r="R71" i="1"/>
  <c r="F71" i="1"/>
  <c r="D71" i="1"/>
  <c r="I71" i="1" s="1"/>
  <c r="R70" i="1"/>
  <c r="I70" i="1"/>
  <c r="R69" i="1"/>
  <c r="I69" i="1"/>
  <c r="R68" i="1"/>
  <c r="F67" i="1"/>
  <c r="R66" i="1"/>
  <c r="E66" i="1"/>
  <c r="G66" i="1" s="1"/>
  <c r="D66" i="1"/>
  <c r="R65" i="1"/>
  <c r="H65" i="1"/>
  <c r="R64" i="1"/>
  <c r="H64" i="1"/>
  <c r="R63" i="1"/>
  <c r="H63" i="1"/>
  <c r="I63" i="1" s="1"/>
  <c r="J63" i="1"/>
  <c r="R62" i="1"/>
  <c r="I62" i="1"/>
  <c r="R61" i="1"/>
  <c r="E61" i="1"/>
  <c r="G61" i="1" s="1"/>
  <c r="D61" i="1"/>
  <c r="R60" i="1"/>
  <c r="I60" i="1"/>
  <c r="R59" i="1"/>
  <c r="I59" i="1"/>
  <c r="E59" i="1"/>
  <c r="R58" i="1"/>
  <c r="I58" i="1"/>
  <c r="R57" i="1"/>
  <c r="R56" i="1"/>
  <c r="R55" i="1"/>
  <c r="R54" i="1"/>
  <c r="H54" i="1"/>
  <c r="F54" i="1"/>
  <c r="W53" i="1"/>
  <c r="Y53" i="1" s="1"/>
  <c r="V53" i="1"/>
  <c r="F53" i="1"/>
  <c r="J53" i="1" s="1"/>
  <c r="Y52" i="1"/>
  <c r="E57" i="1" s="1"/>
  <c r="G57" i="1" s="1"/>
  <c r="R52" i="1"/>
  <c r="H52" i="1"/>
  <c r="V52" i="1" s="1"/>
  <c r="X52" i="1" s="1"/>
  <c r="Y51" i="1"/>
  <c r="V51" i="1"/>
  <c r="X51" i="1" s="1"/>
  <c r="R51" i="1"/>
  <c r="I51" i="1"/>
  <c r="F51" i="1"/>
  <c r="J51" i="1" s="1"/>
  <c r="Y50" i="1"/>
  <c r="V50" i="1"/>
  <c r="X50" i="1" s="1"/>
  <c r="R50" i="1"/>
  <c r="I50" i="1"/>
  <c r="F50" i="1"/>
  <c r="R49" i="1"/>
  <c r="E49" i="1"/>
  <c r="G49" i="1" s="1"/>
  <c r="D49" i="1"/>
  <c r="D56" i="1" s="1"/>
  <c r="D57" i="1" s="1"/>
  <c r="R48" i="1"/>
  <c r="I48" i="1"/>
  <c r="R47" i="1"/>
  <c r="J47" i="1"/>
  <c r="I47" i="1"/>
  <c r="H47" i="1"/>
  <c r="E47" i="1"/>
  <c r="R46" i="1"/>
  <c r="H46" i="1"/>
  <c r="I46" i="1" s="1"/>
  <c r="E46" i="1"/>
  <c r="R45" i="1"/>
  <c r="R44" i="1"/>
  <c r="D44" i="1"/>
  <c r="R43" i="1"/>
  <c r="D43" i="1"/>
  <c r="I43" i="1" s="1"/>
  <c r="R42" i="1"/>
  <c r="D42" i="1"/>
  <c r="R41" i="1"/>
  <c r="H41" i="1"/>
  <c r="F41" i="1"/>
  <c r="R40" i="1"/>
  <c r="D40" i="1"/>
  <c r="Y39" i="1"/>
  <c r="R39" i="1"/>
  <c r="D39" i="1"/>
  <c r="R38" i="1"/>
  <c r="R37" i="1"/>
  <c r="E37" i="1"/>
  <c r="F37" i="1" s="1"/>
  <c r="J37" i="1" s="1"/>
  <c r="R36" i="1"/>
  <c r="H36" i="1"/>
  <c r="E36" i="1"/>
  <c r="R35" i="1"/>
  <c r="H35" i="1"/>
  <c r="I35" i="1" s="1"/>
  <c r="R34" i="1"/>
  <c r="H34" i="1"/>
  <c r="Y34" i="1" s="1"/>
  <c r="E34" i="1"/>
  <c r="G34" i="1" s="1"/>
  <c r="R33" i="1"/>
  <c r="E33" i="1"/>
  <c r="G33" i="1" s="1"/>
  <c r="D33" i="1"/>
  <c r="I33" i="1" s="1"/>
  <c r="R32" i="1"/>
  <c r="E32" i="1"/>
  <c r="R31" i="1"/>
  <c r="E31" i="1"/>
  <c r="R30" i="1"/>
  <c r="R29" i="1"/>
  <c r="F29" i="1"/>
  <c r="R28" i="1"/>
  <c r="D28" i="1"/>
  <c r="D41" i="1" s="1"/>
  <c r="R27" i="1"/>
  <c r="E27" i="1"/>
  <c r="R26" i="1"/>
  <c r="R25" i="1"/>
  <c r="H25" i="1"/>
  <c r="G25" i="1"/>
  <c r="R24" i="1"/>
  <c r="R23" i="1"/>
  <c r="H23" i="1"/>
  <c r="F23" i="1"/>
  <c r="E23" i="1"/>
  <c r="G23" i="1" s="1"/>
  <c r="D23" i="1"/>
  <c r="R22" i="1"/>
  <c r="E22" i="1"/>
  <c r="G22" i="1" s="1"/>
  <c r="R21" i="1"/>
  <c r="R20" i="1"/>
  <c r="R19" i="1"/>
  <c r="R18" i="1"/>
  <c r="R17" i="1"/>
  <c r="H17" i="1"/>
  <c r="R16" i="1"/>
  <c r="H16" i="1"/>
  <c r="R15" i="1"/>
  <c r="H15" i="1"/>
  <c r="R14" i="1"/>
  <c r="R13" i="1"/>
  <c r="R12" i="1"/>
  <c r="U11" i="1"/>
  <c r="R11" i="1"/>
  <c r="I11" i="1"/>
  <c r="R10" i="1"/>
  <c r="D10" i="1"/>
  <c r="I10" i="1" s="1"/>
  <c r="R9" i="1"/>
  <c r="I9" i="1"/>
  <c r="R8" i="1"/>
  <c r="I8" i="1"/>
  <c r="S5" i="1"/>
  <c r="F31" i="1" l="1"/>
  <c r="J31" i="1" s="1"/>
  <c r="E42" i="1"/>
  <c r="G15" i="3" s="1"/>
  <c r="I15" i="3" s="1"/>
  <c r="I34" i="1"/>
  <c r="J23" i="1"/>
  <c r="F30" i="1"/>
  <c r="J30" i="1" s="1"/>
  <c r="H31" i="1"/>
  <c r="F34" i="1"/>
  <c r="J34" i="1" s="1"/>
  <c r="E21" i="1"/>
  <c r="P80" i="1"/>
  <c r="F61" i="1"/>
  <c r="H61" i="1"/>
  <c r="F47" i="1"/>
  <c r="G47" i="1"/>
  <c r="H49" i="1"/>
  <c r="G22" i="2"/>
  <c r="I22" i="2" s="1"/>
  <c r="J67" i="1"/>
  <c r="G31" i="1"/>
  <c r="F33" i="1"/>
  <c r="J33" i="1" s="1"/>
  <c r="H45" i="1"/>
  <c r="E44" i="1"/>
  <c r="G36" i="1"/>
  <c r="E45" i="1"/>
  <c r="G18" i="3" s="1"/>
  <c r="I18" i="3" s="1"/>
  <c r="G46" i="1"/>
  <c r="J59" i="1"/>
  <c r="G59" i="1"/>
  <c r="E40" i="1"/>
  <c r="G26" i="1"/>
  <c r="F26" i="1"/>
  <c r="F22" i="1"/>
  <c r="F39" i="1" s="1"/>
  <c r="G24" i="1"/>
  <c r="G32" i="1"/>
  <c r="J32" i="1"/>
  <c r="H26" i="1"/>
  <c r="I26" i="1" s="1"/>
  <c r="H22" i="1"/>
  <c r="H39" i="1" s="1"/>
  <c r="H27" i="1"/>
  <c r="G27" i="1"/>
  <c r="G30" i="1"/>
  <c r="H37" i="1"/>
  <c r="G37" i="1"/>
  <c r="H76" i="1"/>
  <c r="H74" i="1" s="1"/>
  <c r="G76" i="1"/>
  <c r="I23" i="2"/>
  <c r="J68" i="1"/>
  <c r="G26" i="2"/>
  <c r="I26" i="2" s="1"/>
  <c r="J71" i="1"/>
  <c r="G30" i="2"/>
  <c r="I30" i="2" s="1"/>
  <c r="J77" i="1"/>
  <c r="J79" i="1"/>
  <c r="J43" i="1"/>
  <c r="G43" i="1"/>
  <c r="G14" i="2"/>
  <c r="I14" i="2" s="1"/>
  <c r="J41" i="1"/>
  <c r="G31" i="2"/>
  <c r="I31" i="2" s="1"/>
  <c r="J78" i="1"/>
  <c r="G42" i="2"/>
  <c r="I42" i="2" s="1"/>
  <c r="I41" i="2" s="1"/>
  <c r="I10" i="2" s="1"/>
  <c r="F11" i="1" s="1"/>
  <c r="J11" i="1" s="1"/>
  <c r="J81" i="1"/>
  <c r="F49" i="1"/>
  <c r="J49" i="1" s="1"/>
  <c r="J50" i="1"/>
  <c r="F84" i="1"/>
  <c r="J84" i="1" s="1"/>
  <c r="D20" i="1"/>
  <c r="H14" i="1"/>
  <c r="F57" i="1"/>
  <c r="J57" i="1" s="1"/>
  <c r="H57" i="1"/>
  <c r="I57" i="1" s="1"/>
  <c r="F66" i="1"/>
  <c r="J66" i="1" s="1"/>
  <c r="I31" i="1"/>
  <c r="H66" i="1"/>
  <c r="I84" i="1"/>
  <c r="I27" i="1"/>
  <c r="Y54" i="1"/>
  <c r="F44" i="1"/>
  <c r="Y36" i="1"/>
  <c r="Y33" i="1" s="1"/>
  <c r="J46" i="1"/>
  <c r="E74" i="1"/>
  <c r="F27" i="1"/>
  <c r="J27" i="1" s="1"/>
  <c r="H30" i="1"/>
  <c r="F36" i="1"/>
  <c r="I78" i="1"/>
  <c r="I83" i="1"/>
  <c r="I36" i="1"/>
  <c r="F46" i="1"/>
  <c r="F45" i="1" s="1"/>
  <c r="G18" i="2" s="1"/>
  <c r="I18" i="2" s="1"/>
  <c r="X53" i="1"/>
  <c r="X54" i="1" s="1"/>
  <c r="F76" i="1"/>
  <c r="I77" i="1"/>
  <c r="E39" i="1" l="1"/>
  <c r="G12" i="3" s="1"/>
  <c r="I12" i="3" s="1"/>
  <c r="G21" i="1"/>
  <c r="G40" i="1"/>
  <c r="G13" i="3"/>
  <c r="I13" i="3" s="1"/>
  <c r="E72" i="1"/>
  <c r="U39" i="1"/>
  <c r="G74" i="1"/>
  <c r="G29" i="3"/>
  <c r="I29" i="3" s="1"/>
  <c r="G44" i="1"/>
  <c r="G17" i="3"/>
  <c r="I17" i="3" s="1"/>
  <c r="G42" i="1"/>
  <c r="I76" i="1"/>
  <c r="J45" i="1"/>
  <c r="J22" i="1"/>
  <c r="F21" i="1"/>
  <c r="J21" i="1" s="1"/>
  <c r="G45" i="1"/>
  <c r="F72" i="1"/>
  <c r="J72" i="1" s="1"/>
  <c r="H44" i="1"/>
  <c r="G28" i="1"/>
  <c r="H28" i="1"/>
  <c r="F28" i="1"/>
  <c r="J40" i="1"/>
  <c r="H24" i="1"/>
  <c r="I24" i="1" s="1"/>
  <c r="H42" i="1"/>
  <c r="I42" i="1" s="1"/>
  <c r="H21" i="1"/>
  <c r="I21" i="1" s="1"/>
  <c r="E20" i="1"/>
  <c r="W21" i="1" s="1"/>
  <c r="E73" i="1"/>
  <c r="I22" i="1"/>
  <c r="F42" i="1"/>
  <c r="J26" i="1"/>
  <c r="F24" i="1"/>
  <c r="J24" i="1" s="1"/>
  <c r="F74" i="1"/>
  <c r="J76" i="1"/>
  <c r="G55" i="1"/>
  <c r="G56" i="1"/>
  <c r="G17" i="2"/>
  <c r="I17" i="2" s="1"/>
  <c r="J44" i="1"/>
  <c r="G12" i="2"/>
  <c r="I12" i="2" s="1"/>
  <c r="J39" i="1"/>
  <c r="J36" i="1"/>
  <c r="H56" i="1"/>
  <c r="H55" i="1" s="1"/>
  <c r="F56" i="1"/>
  <c r="J56" i="1" s="1"/>
  <c r="I74" i="1"/>
  <c r="I30" i="1"/>
  <c r="G73" i="1" l="1"/>
  <c r="G28" i="3"/>
  <c r="I28" i="3" s="1"/>
  <c r="G72" i="1"/>
  <c r="G27" i="3"/>
  <c r="I27" i="3" s="1"/>
  <c r="I24" i="3" s="1"/>
  <c r="I9" i="3" s="1"/>
  <c r="E10" i="1" s="1"/>
  <c r="I11" i="3"/>
  <c r="I8" i="3" s="1"/>
  <c r="H72" i="1"/>
  <c r="I72" i="1" s="1"/>
  <c r="G39" i="1"/>
  <c r="H73" i="1"/>
  <c r="I73" i="1" s="1"/>
  <c r="G27" i="2"/>
  <c r="I27" i="2" s="1"/>
  <c r="F73" i="1"/>
  <c r="G28" i="2" s="1"/>
  <c r="I28" i="2" s="1"/>
  <c r="H20" i="1"/>
  <c r="W20" i="1" s="1"/>
  <c r="X26" i="1" s="1"/>
  <c r="U20" i="1"/>
  <c r="J42" i="1"/>
  <c r="G15" i="2"/>
  <c r="I15" i="2" s="1"/>
  <c r="F20" i="1"/>
  <c r="J20" i="1" s="1"/>
  <c r="I28" i="1"/>
  <c r="X28" i="1"/>
  <c r="G20" i="1"/>
  <c r="G29" i="2"/>
  <c r="I29" i="2" s="1"/>
  <c r="J74" i="1"/>
  <c r="F55" i="1"/>
  <c r="J55" i="1" s="1"/>
  <c r="G20" i="2"/>
  <c r="I20" i="2" s="1"/>
  <c r="I55" i="1"/>
  <c r="I56" i="1"/>
  <c r="G10" i="1" l="1"/>
  <c r="U10" i="1"/>
  <c r="E9" i="1"/>
  <c r="I7" i="3"/>
  <c r="J73" i="1"/>
  <c r="I11" i="2"/>
  <c r="I8" i="2" s="1"/>
  <c r="F9" i="1" s="1"/>
  <c r="J9" i="1" s="1"/>
  <c r="U19" i="1"/>
  <c r="I24" i="2"/>
  <c r="I9" i="2" s="1"/>
  <c r="F10" i="1" s="1"/>
  <c r="J10" i="1" s="1"/>
  <c r="E8" i="1" l="1"/>
  <c r="G9" i="1"/>
  <c r="U9" i="1"/>
  <c r="I7" i="2"/>
  <c r="F8" i="1"/>
  <c r="J8" i="1" s="1"/>
  <c r="G8" i="1" l="1"/>
  <c r="U8" i="1"/>
  <c r="E17" i="1"/>
  <c r="G17" i="1" s="1"/>
  <c r="S8" i="1"/>
  <c r="E16" i="1"/>
  <c r="G16" i="1" s="1"/>
  <c r="E15" i="1"/>
  <c r="G15" i="1" s="1"/>
  <c r="F15" i="1"/>
  <c r="F17" i="1"/>
  <c r="F16" i="1"/>
  <c r="F14" i="1" l="1"/>
  <c r="F152" i="1"/>
</calcChain>
</file>

<file path=xl/sharedStrings.xml><?xml version="1.0" encoding="utf-8"?>
<sst xmlns="http://schemas.openxmlformats.org/spreadsheetml/2006/main" count="851" uniqueCount="322">
  <si>
    <t>PHỤ LỤC
KẾT QUẢ THỰC HIỆN CÁC CHỈ TIÊU KINH TẾ - XÃ HỘI THÁNG 7 NĂM 2025</t>
  </si>
  <si>
    <t>TT</t>
  </si>
  <si>
    <t>Chỉ tiêu</t>
  </si>
  <si>
    <t>Đơn vị</t>
  </si>
  <si>
    <t>Thực hiện năm 2024</t>
  </si>
  <si>
    <t>Chỉ tiêu năm 2025</t>
  </si>
  <si>
    <t>Ghi chú</t>
  </si>
  <si>
    <t xml:space="preserve">Kế hoạch </t>
  </si>
  <si>
    <t>Thực hiện  đến tháng 06 năm 2025</t>
  </si>
  <si>
    <t>Thực hiện  đến tháng 07 năm 2025</t>
  </si>
  <si>
    <t>So với cùng kỳ tháng 07 năm 2024</t>
  </si>
  <si>
    <t>I</t>
  </si>
  <si>
    <t>CHỈ TIÊU KINH TẾ</t>
  </si>
  <si>
    <t>-</t>
  </si>
  <si>
    <t>Theo giá hiện hành</t>
  </si>
  <si>
    <t>Tỷ đồng</t>
  </si>
  <si>
    <t>Nông, lâm, thủy sản</t>
  </si>
  <si>
    <t>Công nghiệp, xây dựng</t>
  </si>
  <si>
    <t>tỷ đồng</t>
  </si>
  <si>
    <t>Thương mại, dịch vụ</t>
  </si>
  <si>
    <t>GRDP bình quân đầu người</t>
  </si>
  <si>
    <t>Tr.đồng</t>
  </si>
  <si>
    <t>Không 
đánh giá</t>
  </si>
  <si>
    <t>giá trị sản xuất trên bình quân bình quân đầu người</t>
  </si>
  <si>
    <t>Tốc độ tăng trưởng giá trị sản xuất</t>
  </si>
  <si>
    <t>%</t>
  </si>
  <si>
    <t xml:space="preserve">Cơ cấu tổng sản phẩm theo nhóm ngành </t>
  </si>
  <si>
    <t>Thấp hơn</t>
  </si>
  <si>
    <t>Bằng</t>
  </si>
  <si>
    <t>Cao hơn</t>
  </si>
  <si>
    <t>Nông nghiệp</t>
  </si>
  <si>
    <t>5.1</t>
  </si>
  <si>
    <t>Trồng trọt</t>
  </si>
  <si>
    <t>a.</t>
  </si>
  <si>
    <r>
      <t xml:space="preserve">Diện tích cây trồng </t>
    </r>
    <r>
      <rPr>
        <sz val="12"/>
        <rFont val="Times New Roman"/>
        <family val="1"/>
      </rPr>
      <t>(không bao gồm diện tích trồng rừng, mặt nước)</t>
    </r>
  </si>
  <si>
    <t>Ha</t>
  </si>
  <si>
    <t xml:space="preserve">Lúa </t>
  </si>
  <si>
    <t>+</t>
  </si>
  <si>
    <t>Lúa đông xuân</t>
  </si>
  <si>
    <t>"</t>
  </si>
  <si>
    <t>Lúa mùa</t>
  </si>
  <si>
    <t>Cà phê</t>
  </si>
  <si>
    <t>Theo chỉ tiêu giao 2 xã</t>
  </si>
  <si>
    <t>Diện tích trồng mới</t>
  </si>
  <si>
    <t>Diện tích kinh doanh</t>
  </si>
  <si>
    <t>Tiêu</t>
  </si>
  <si>
    <t>Cao su</t>
  </si>
  <si>
    <t>Âm</t>
  </si>
  <si>
    <t>Sắn</t>
  </si>
  <si>
    <t>Ngô</t>
  </si>
  <si>
    <t>Rau, đậu các loại (bí, rau, đậu, lạc, vừng…)</t>
  </si>
  <si>
    <t>Điều</t>
  </si>
  <si>
    <t>Mía</t>
  </si>
  <si>
    <t xml:space="preserve">Cây ăn quả </t>
  </si>
  <si>
    <t>Trong đó, trồng mới</t>
  </si>
  <si>
    <t>b.</t>
  </si>
  <si>
    <t>Sản lượng sản phẩm chủ yếu</t>
  </si>
  <si>
    <t xml:space="preserve"> Sản lượng lương thực có hạt (ngô, thóc)</t>
  </si>
  <si>
    <t>Tấn</t>
  </si>
  <si>
    <t xml:space="preserve"> Cà phê nhân</t>
  </si>
  <si>
    <t xml:space="preserve"> Cao su mủ tươi</t>
  </si>
  <si>
    <t xml:space="preserve"> Sắn ((tươi)</t>
  </si>
  <si>
    <t>5.2</t>
  </si>
  <si>
    <t>Cây dược liệu</t>
  </si>
  <si>
    <t>Cây dược liệu khác (nghệ, đinh lăng, sả, sâm cau…)</t>
  </si>
  <si>
    <t>5.3</t>
  </si>
  <si>
    <t>Cải tạo vườn tạp</t>
  </si>
  <si>
    <t>Chăn nuôi</t>
  </si>
  <si>
    <t>a</t>
  </si>
  <si>
    <t>Tổng đàn gia súc</t>
  </si>
  <si>
    <t>SL xuất/tháng</t>
  </si>
  <si>
    <t>Trọng lượng (tấn)</t>
  </si>
  <si>
    <t>KL hơi /tháng(tấn)</t>
  </si>
  <si>
    <t>KL hơi/KH năm (tấn)</t>
  </si>
  <si>
    <t>Đàn trâu</t>
  </si>
  <si>
    <t>Con</t>
  </si>
  <si>
    <t>Đàn bò</t>
  </si>
  <si>
    <t>Đàn lợn</t>
  </si>
  <si>
    <t>Dê, hươu</t>
  </si>
  <si>
    <t>b</t>
  </si>
  <si>
    <t>Tổng đàn gia cầm</t>
  </si>
  <si>
    <t>c</t>
  </si>
  <si>
    <t>Sản phẩm chăn nuôi chủ yếu</t>
  </si>
  <si>
    <t xml:space="preserve"> Thịt hơi các loại</t>
  </si>
  <si>
    <t>Trong đó: Thịt lợn</t>
  </si>
  <si>
    <t>Lâm nghiệp</t>
  </si>
  <si>
    <t xml:space="preserve"> Tổng diện tích trồng mới (không tính cây cao su)</t>
  </si>
  <si>
    <t>CMR: 20ha; XHH: 10ha</t>
  </si>
  <si>
    <t xml:space="preserve"> Tỷ lệ độ che phủ rừng (có tính cây cao su)</t>
  </si>
  <si>
    <t>Trồng cây phân tán</t>
  </si>
  <si>
    <t>Cây</t>
  </si>
  <si>
    <t>5.5</t>
  </si>
  <si>
    <t>Thủy sản</t>
  </si>
  <si>
    <t>Nuôi cá bằng lồng</t>
  </si>
  <si>
    <t>Nuôi cá ao</t>
  </si>
  <si>
    <t>Bể nuôi cá trên cạn</t>
  </si>
  <si>
    <t>Tổng sản lượng thuỷ sản</t>
  </si>
  <si>
    <t>Sản lượng khai thác tự nhiên</t>
  </si>
  <si>
    <t>Sản lượng nuôi trồng</t>
  </si>
  <si>
    <t>Công nghiệp</t>
  </si>
  <si>
    <t>Khai thác đá, cát, sỏi các loại</t>
  </si>
  <si>
    <t>Nghìn m3</t>
  </si>
  <si>
    <t>Nông cụ cầm tay</t>
  </si>
  <si>
    <t>Nghìn sp</t>
  </si>
  <si>
    <t>Xay sát gạo</t>
  </si>
  <si>
    <t xml:space="preserve"> Nhà máy chế biến tinh bột sắn</t>
  </si>
  <si>
    <t>Nhà máy chế biến mủ cao su</t>
  </si>
  <si>
    <t>Công ty TNHH MTV Cao su Chư Mom Ray</t>
  </si>
  <si>
    <t>Chế biến cả diện tích của xã Ia Đal</t>
  </si>
  <si>
    <t xml:space="preserve">SX tháng 1, 6, 7 </t>
  </si>
  <si>
    <t>Công ty CP Cao su Duy Tân</t>
  </si>
  <si>
    <t>SX tháng 1, 6, 7</t>
  </si>
  <si>
    <t xml:space="preserve">  Các nhà máy thuỷ điện Sê San 3A, 4</t>
  </si>
  <si>
    <t>Triệu Kw/h</t>
  </si>
  <si>
    <t>Các nhà máy điện năng lượng mặt trời và hộ gia đình</t>
  </si>
  <si>
    <t>Tổng mức bán lẻ hàng hóa và doanh thu dịch vụ</t>
  </si>
  <si>
    <t>Du lịch</t>
  </si>
  <si>
    <t>Tổng lượt khách</t>
  </si>
  <si>
    <t>L/khách</t>
  </si>
  <si>
    <t xml:space="preserve"> + Khách quốc tế</t>
  </si>
  <si>
    <t xml:space="preserve"> + Khách nội địa</t>
  </si>
  <si>
    <t>Tổng doanh thu</t>
  </si>
  <si>
    <t>Tổng số xã đạt chuẩn nông thôn mới</t>
  </si>
  <si>
    <t>Xã</t>
  </si>
  <si>
    <t>Thu NSNN trên địa bàn</t>
  </si>
  <si>
    <t>Chi ngân sách địa phương (Nhiệm vụ chi)</t>
  </si>
  <si>
    <t>Thứ hạng</t>
  </si>
  <si>
    <t>Duy trì và tăng 01 bậc so với năm 2023</t>
  </si>
  <si>
    <t>Duy trì so với năm 2024</t>
  </si>
  <si>
    <t>Thứ hạng Chỉ số cải cách hành chính (PAR INDEX)</t>
  </si>
  <si>
    <t>Tổng vốn đầu tư phát triển trên địa bàn</t>
  </si>
  <si>
    <t>Không đánh giá</t>
  </si>
  <si>
    <t>Trong đó vốn đầu tư khu vực tư nhân</t>
  </si>
  <si>
    <t>Hợp tác xã</t>
  </si>
  <si>
    <t>Tổng số hợp tác xã</t>
  </si>
  <si>
    <t>Tổng số lao động trong hợp tác xã</t>
  </si>
  <si>
    <t>Người</t>
  </si>
  <si>
    <t>Tỷ lệ hộ dân tộc thiểu số tham gia vào hợp tác xã</t>
  </si>
  <si>
    <t xml:space="preserve">Tổ hợp tác </t>
  </si>
  <si>
    <t>Chưa đánh giá</t>
  </si>
  <si>
    <t>Tổng số tổ hợp tác</t>
  </si>
  <si>
    <t>Tổ hợp tác</t>
  </si>
  <si>
    <t xml:space="preserve">Tổng số thành viên tổ hợp tác </t>
  </si>
  <si>
    <t>Thành viên</t>
  </si>
  <si>
    <t>II</t>
  </si>
  <si>
    <t>CHỈ TIÊU VĂN HÓA - XÃ HỘI</t>
  </si>
  <si>
    <t>Dân số</t>
  </si>
  <si>
    <t>Dân số trung bình</t>
  </si>
  <si>
    <t>Tỷ lệ tăng dân số tự nhiên</t>
  </si>
  <si>
    <t>Tuổi thọ trung bình</t>
  </si>
  <si>
    <t>Tuổi</t>
  </si>
  <si>
    <t>Tỷ số giới tính của trẻ em mới sinh</t>
  </si>
  <si>
    <t>Số bé trai/100 bé gái</t>
  </si>
  <si>
    <t>Mức giảm tỷ lệ sinh</t>
  </si>
  <si>
    <t>‰</t>
  </si>
  <si>
    <t>Tỷ lệ sử dụng các biện pháp tránh thai hiện đại</t>
  </si>
  <si>
    <t xml:space="preserve">Tỷ lệ sinh con thứ 3 trở lên </t>
  </si>
  <si>
    <t>Lao động và việc làm</t>
  </si>
  <si>
    <t>Số người được giải quyết việc làm (tăng thêm trong năm)</t>
  </si>
  <si>
    <t xml:space="preserve">Tỷ lệ lao động qua đào tạo </t>
  </si>
  <si>
    <t>Chưa đến thời điểm rà soát</t>
  </si>
  <si>
    <t xml:space="preserve">Trong đó, tỷ lệ lao động được đào tạo nghề </t>
  </si>
  <si>
    <t>Giáo dục và Đào tạo</t>
  </si>
  <si>
    <t>Tổng số học sinh đầu năm học</t>
  </si>
  <si>
    <t>Học sinh</t>
  </si>
  <si>
    <t>Chưa vào năm học</t>
  </si>
  <si>
    <t>+ Nhà trẻ</t>
  </si>
  <si>
    <t>+ Mẫu giáo (mầm non)</t>
  </si>
  <si>
    <t>+ Tiểu học</t>
  </si>
  <si>
    <t>+ Trung học cơ sở</t>
  </si>
  <si>
    <t>Tỷ lệ học sinh đi học đúng độ tuổi</t>
  </si>
  <si>
    <t xml:space="preserve"> + Tiểu học</t>
  </si>
  <si>
    <t xml:space="preserve"> + Trung học cơ sở</t>
  </si>
  <si>
    <t>Chưa đến 
kỳ rà soát</t>
  </si>
  <si>
    <t>Tỷ lệ học sinh tốt nghiệp trung học cơ sở, trung học phổ thông chuyển sang học nghề</t>
  </si>
  <si>
    <t>Tỷ lệ trường đạt chuẩn quốc gia</t>
  </si>
  <si>
    <t>66,7</t>
  </si>
  <si>
    <t xml:space="preserve"> + Mầm non</t>
  </si>
  <si>
    <t>Trường</t>
  </si>
  <si>
    <t xml:space="preserve"> + Tiểu học - Trung học cơ sở</t>
  </si>
  <si>
    <t>Y tế</t>
  </si>
  <si>
    <t>Tỷ lệ bao phủ BHYT</t>
  </si>
  <si>
    <t>Tỷ lệ bao phủ BHXH so với lực lượng lao động</t>
  </si>
  <si>
    <t>Tỷ lệ bao phủ BHTN so với lực lượng lao động</t>
  </si>
  <si>
    <t>Giường bệnh công lập (Giường lưu tại Trạm Y tế)</t>
  </si>
  <si>
    <t>Gường</t>
  </si>
  <si>
    <t>Số bác sỹ/10.000 dân</t>
  </si>
  <si>
    <t>Bác sỹ</t>
  </si>
  <si>
    <t>Tỷ lệ xã đạt Bộ tiêu chí  quốc gia về y tế xã (giai đoạn 2011-2020)</t>
  </si>
  <si>
    <t>Tỷ lệ trạm y tế xã, phường, thị trấn có bác sỹ làm việc</t>
  </si>
  <si>
    <t>Tỷ lệ trẻ em &lt; 5 tuổi suy dinh dưỡng thể thấp còi</t>
  </si>
  <si>
    <t>Tỷ lệ trẻ em dưới 5 tuổi bị suy dinh dưỡng thể nhẹ cân</t>
  </si>
  <si>
    <t>Số vụ ngộ độc thực phẩm trên 30 người mắc</t>
  </si>
  <si>
    <t>Vụ</t>
  </si>
  <si>
    <t xml:space="preserve">Bằng </t>
  </si>
  <si>
    <t>Số vụ ngộ độc thực phẩm cấp tính trong vụ ngộ độc thực phẩm được ghi nhận /10.000 dân</t>
  </si>
  <si>
    <t>Ca</t>
  </si>
  <si>
    <t xml:space="preserve">Tỷ lệ phụ nữ đẻ khám thai ít nhất 4 lần trong 3 thời kỳ thai nghén </t>
  </si>
  <si>
    <t>≥55,0</t>
  </si>
  <si>
    <t>Tỷ lệ thôn, làng có cô đỡ thôn bản</t>
  </si>
  <si>
    <t xml:space="preserve">Tỷ lệ bà mẹ và trẻ sơ sinh được chăm sóc sau sinh </t>
  </si>
  <si>
    <t>≥86</t>
  </si>
  <si>
    <t>Tỷ lệ phụ nữ đẻ được cán bộ có kỹ năng đỡ</t>
  </si>
  <si>
    <t>Tỷ lệ phụ nữ DTTS đẻ được cán bộ có kỹ năng đỡ</t>
  </si>
  <si>
    <t>≥76</t>
  </si>
  <si>
    <t>Tỷ lệ hộ gia đình có nhà tiêu hợp vệ sinh</t>
  </si>
  <si>
    <t>Tỷ suất mắc bệnh truyền nhiễm gây dịch được báo cáo trong năm trên 100.000 dân</t>
  </si>
  <si>
    <t>&lt;53</t>
  </si>
  <si>
    <t>Tỷ lệ bệnh nhân DTTS mắc sốt rét trên 1.000 dân</t>
  </si>
  <si>
    <t>Loại trừ</t>
  </si>
  <si>
    <t>Tỷ lệ phụ nữ có thai được tiêm phòng đủ vắc xin phòng uốn ván</t>
  </si>
  <si>
    <t>≥92</t>
  </si>
  <si>
    <t xml:space="preserve">Tỷ lệ trẻ dưới 1 tuổi được tiêm chủng đầy đủ </t>
  </si>
  <si>
    <t>≥97</t>
  </si>
  <si>
    <t>Văn hoá, thể thao, thông tin</t>
  </si>
  <si>
    <t>Tỷ lệ xã, phường, thị trấn có nhà văn hóa</t>
  </si>
  <si>
    <t>Tỷ lệ thôn, làng, tổ dân phố đạt danh hiệu văn hóa</t>
  </si>
  <si>
    <t>Tỷ lệ gia đình đạt danh hiệu văn hóa</t>
  </si>
  <si>
    <t>Tỷ lệ hộ gia đình tập thể dục thể thao thường xuyên</t>
  </si>
  <si>
    <t>Tỷ lệ hộ dân được sử dụng điện</t>
  </si>
  <si>
    <t>Tỷ lệ hộ dân tộc thiểu số có đất ở</t>
  </si>
  <si>
    <t>Tỷ lệ hộ dân tộc thiểu số có đất sản xuất</t>
  </si>
  <si>
    <t>III</t>
  </si>
  <si>
    <t>CHỈ TIÊU MÔI TRƯỜNG</t>
  </si>
  <si>
    <t>Tý lệ rác thải sinh hoạt (ở đô thị và nông thôn) được thu gom và xử lý</t>
  </si>
  <si>
    <t>Tỷ lệ hộ gia đình ở đô thị sử dụng nước sạch</t>
  </si>
  <si>
    <t>Không có</t>
  </si>
  <si>
    <t>Tỷ lệ hộ gia đình ở khu vực nông thôn sử dụng nước hợp vệ sinh</t>
  </si>
  <si>
    <t>Tỷ lệ khu công nghiệp đang hoạt động có hệ thống xử lý nước thải tập trung đạt tiêu chuẩn môi trường</t>
  </si>
  <si>
    <t>Tỷ lệ cơ sở sản xuất kinh doanh đạt tiêu chuẩn về môi trường</t>
  </si>
  <si>
    <t>Tỷ lệ xử lý triệt để cơ sở gây ô nhiễm môi trường nghiêm trọng</t>
  </si>
  <si>
    <t>CHỈ TIÊU QUỐC PHÒNG, AN NINH</t>
  </si>
  <si>
    <t>Tỷ lệ giải quyết tố giác, tin báo về tội phạm, kiến nghị khởi tố</t>
  </si>
  <si>
    <t>&gt;90</t>
  </si>
  <si>
    <t>Tỷ lệ điều tra, khám phá án</t>
  </si>
  <si>
    <t>&gt;=75</t>
  </si>
  <si>
    <t>Trong đó, án đặc biệt nghiêm trọng</t>
  </si>
  <si>
    <t>Tỷ lệ giao quân</t>
  </si>
  <si>
    <t>Tỷ lệ tội phạm về trật tự xã hội</t>
  </si>
  <si>
    <t>Giảm 5%</t>
  </si>
  <si>
    <t>Đánh giá vào cuối năm</t>
  </si>
  <si>
    <t>khai thác sắn các tháng: 1,2,3,10,11,12</t>
  </si>
  <si>
    <t>tháng 1: 900 / tháng 6: 700</t>
  </si>
  <si>
    <t>khai thác các tháng 1,6,7,8,9,10,11,12</t>
  </si>
  <si>
    <t>Sản lượng trung bình x diện tích canh tác</t>
  </si>
  <si>
    <t>CHỈ TIÊU</t>
  </si>
  <si>
    <t>ĐƠN VỊ</t>
  </si>
  <si>
    <t>Năm 2023</t>
  </si>
  <si>
    <t xml:space="preserve">Thực hiện </t>
  </si>
  <si>
    <r>
      <t xml:space="preserve">Giá
</t>
    </r>
    <r>
      <rPr>
        <b/>
        <i/>
        <sz val="12"/>
        <rFont val="Times New Roman"/>
        <family val="1"/>
        <charset val="163"/>
      </rPr>
      <t>(đồng)</t>
    </r>
  </si>
  <si>
    <t>Giá trị</t>
  </si>
  <si>
    <t>Kế hoạch</t>
  </si>
  <si>
    <t>Ước thực hiện cả năm</t>
  </si>
  <si>
    <t>Thực hiện 6 tháng năm 2024</t>
  </si>
  <si>
    <t>Giá trị tổng sản xuất trên địa bàn xã</t>
  </si>
  <si>
    <t>*</t>
  </si>
  <si>
    <t>Nông, lâm nghiệp và thuỷ sản</t>
  </si>
  <si>
    <t xml:space="preserve">Tỷ đồng </t>
  </si>
  <si>
    <t>Công nghiệp và xây dựng</t>
  </si>
  <si>
    <t>Dự kiến 2024</t>
  </si>
  <si>
    <t>Sản lượng lương thực có hạt</t>
  </si>
  <si>
    <t>Giá tham khảo</t>
  </si>
  <si>
    <t>Cà phê nhân</t>
  </si>
  <si>
    <t>Cao su mủ tươi</t>
  </si>
  <si>
    <t>Đã tham khảo giá của Công ty CP CS Sa Thầy</t>
  </si>
  <si>
    <t>Mía cây</t>
  </si>
  <si>
    <t>Cây ăn quả</t>
  </si>
  <si>
    <t>Thịt hơi các loại</t>
  </si>
  <si>
    <t>Sản lượng khai thác</t>
  </si>
  <si>
    <t>Tạm tính theo Thông báo giá số 91/TB-SXD ngày 14/10/2024 của Sở Xây dựng tại Sa Thầy: Giá cát xây :200.000đ/m3; đá 1x2: 300.000 đồng/m3</t>
  </si>
  <si>
    <t>Đơn giá phối hợp tham khảo giá bán trung bình 100.000 đồng/1 nông cụ</t>
  </si>
  <si>
    <t>Đơn giá phối hợp tham khảo giá xay sát 2.000.000 đồng/Tấn</t>
  </si>
  <si>
    <t xml:space="preserve"> Tinh bột sắn</t>
  </si>
  <si>
    <t>Đơn giá đã phối hợp tham khảo giá bán của Công ty CP CS Sa Thầy</t>
  </si>
  <si>
    <t xml:space="preserve"> Các nhà máy thuỷ điện Sê San 3A, 4, 4A</t>
  </si>
  <si>
    <t>Tạm tính Theo Quyết định số 3130/QĐ-BCT, chính thức quy định khung giá phát điện năm 2024 cho nhà máy thủy điện là: 0 - 1.110 đồng/kWh, trong đó chưa bao gồm các khoản thuế và phí liên quan như thuế tài nguyên nước, phí dịch vụ môi trường rừng, tiền cấp quyền khai thác tài nguyên nước và thuế giá trị gia tăng</t>
  </si>
  <si>
    <t>Tạm tính Theo Quyết định số 21/QĐ-BCT Ngày 07 tháng 01 năm 2023 của Bộ trưởng Bộ Công Thương Giá trần (giá cao nhất) của khung giá phát điện (chưa bao gồm thuế giá trị gia tăng) áp dụng cho các nhà máy điện mặt trời, điện gió chuyển tiếp như sau 1.184,90 đồng/kWh</t>
  </si>
  <si>
    <t>Dự kiến đầu tư công của huyện 2026-2030</t>
  </si>
  <si>
    <t>Doanh thu các hộ kinh doanh trên địa bàn</t>
  </si>
  <si>
    <t>Theo số liệu Chi cục thuế huyện Tổng doanh thu của các hộ kinh doanh trên địa bàn xã năm 2024 trong 01 tháng khoảng 2 tỷ/ tháng =&gt; 24 tỷ/năm; TTrung bình tăng 10-20%/ năm (15%/năm) =&gt;Năm 2025 khoảng 27,6 tỷ =&gt;Năm 2026 khoảng 31,74 tỷ =&gt;Năm 2027 khoảng 36,455 tỷ=&gt; Năm 2028 khoảng 41,923 tỷ=&gt; Năm 2029 khoảng 48,212 tỷ=&gt;Năm 2030 khoảng 55,444 tỷ</t>
  </si>
  <si>
    <t>Doanh thu các hợp tác xã trên địa bàn</t>
  </si>
  <si>
    <t>Dự kiến năm 2030 trên địa bàn xã có 12 hợp tác xã, trung bình doanh thu của các hợp tác xã khoảng 3 tỷ/năm</t>
  </si>
  <si>
    <t>Doanh thu xăng dầu trên địa bàn xã</t>
  </si>
  <si>
    <t>lít</t>
  </si>
  <si>
    <t>Hiện nay trên địa bàn xã có 03 cây xăng đầu trên địa bàn xã; Bình quân nhập 300.000 lít xăng, dầu/1 tháng; với giá trung bình xăng dầu khoảng 20.000 đồng/lít</t>
  </si>
  <si>
    <t>Giá trị sử dụng phân bón, vật tư khác của các công ty cao su</t>
  </si>
  <si>
    <t>Với diện tích khoảng 13846 ha với mật độ 550 cây/ha</t>
  </si>
  <si>
    <t>NPK</t>
  </si>
  <si>
    <t>Kg</t>
  </si>
  <si>
    <t xml:space="preserve">Theo kỹ thuật chăm sóc cao su tại Kon Tum: Thì 01 ha cao su cần bón 315kg phân NPK/năm với diện tích 25.803 ha cao su: Theo giá phân NPK 16-16-8 Phú Mỹ tại khu vực tây nguyên thời điểm tháng 01/2025 khoảng 15.300.000 đồng/ tấn. </t>
  </si>
  <si>
    <t>Vật tư khác</t>
  </si>
  <si>
    <t>Qua trao đổi với công ty cao su trên địa bàn xã thì hằng năm nhu cầu mua bổ sung các vật tư khai thác mũ khoảng 30-40% (Trung bình 35%/Năm) với đơn giá khoảng 8.910 đồng/cây (Theo bảng giá tại Quyết định số 63/2024/QĐ-UBND ngày 31/10/2024 của Ủy ban nhân dân tỉnh Kon Tum)</t>
  </si>
  <si>
    <t>Các điểm thu mua nông sản (Điểu),
 lâm sản (Đót) theo mùa vụ tự phát trên địa bàn</t>
  </si>
  <si>
    <t>Trung bình khoảng 3,5 tỷ/năm</t>
  </si>
  <si>
    <t>Số lượng khách du lịch</t>
  </si>
  <si>
    <t>Lượt khách</t>
  </si>
  <si>
    <t>Sản lượng chế biến tính dựa trên sản lượng sắn tươi (Trung bình 3,5kg sắn tươi cho ra 01kg tinh bột sắn) ngoài ra nhập thêm khoản 35.000 tấn sắn tươi của các vùng lân cận để chế biến Đơn giá đã phối hợp tham khảo nhà máy tinh bột sắn Ia H'Drai</t>
  </si>
  <si>
    <t xml:space="preserve"> đồng</t>
  </si>
  <si>
    <t>Trung bình mỗi du khách đến xã thăm quan, ăn uống, nghỉ ngơi, mua sản vật về làm quà khoảng 3,4 triệu đồng/ người.</t>
  </si>
  <si>
    <t>Thương mại - Dịch vụ</t>
  </si>
  <si>
    <t>IV</t>
  </si>
  <si>
    <t>Ước thực hiện đến cuối năm 2025</t>
  </si>
  <si>
    <t xml:space="preserve">Giá trị tổng sản xuất địa bàn </t>
  </si>
  <si>
    <t>54.71 (Theo số liệu dự kiến của Bảo hiểm xã hội cơ sở Ia H’Drai)</t>
  </si>
  <si>
    <t>48.34 (Theo số liệu dự kiến của Bảo hiểm xã hội cơ sở Ia H’Drai)</t>
  </si>
  <si>
    <t>Số hộ nghèo</t>
  </si>
  <si>
    <t>hộ</t>
  </si>
  <si>
    <t>tỷ lệ hộ nghèo</t>
  </si>
  <si>
    <t>số hộ cận nghèo</t>
  </si>
  <si>
    <t>tỷ lệ cận nghèo</t>
  </si>
  <si>
    <t>Tỷ lệ nghèo đa chiều</t>
  </si>
  <si>
    <t>Tỷ lệ giảm nghèo đa chiều qua các năm</t>
  </si>
  <si>
    <t>nghèo đa chiều</t>
  </si>
  <si>
    <t>Loại trừ bệnh sốt rét ở quy mô cấp xã</t>
  </si>
  <si>
    <t>Thứ hạng Chỉ số năng lực cạnh tranh cấp xã (CCDI)</t>
  </si>
  <si>
    <t>xã</t>
  </si>
  <si>
    <t>Tỷ lệ xã  mạnh về phong trào toàn dân bảo vệ an ninh Tổ quốc</t>
  </si>
  <si>
    <t>Tỷ lệ xã, khu dân cư, cơ quan, trường học đạt tiêu chuẩn an toàn về an ninh trật tự</t>
  </si>
  <si>
    <t>(Kèm theo  Nghị  quyết số       /NQ-UBND, ngày       /      /2025 của Hội đồng nhân dân xã Ia Tơi)</t>
  </si>
  <si>
    <t>Thực hiện đạt các chỉ tiêu nếu được cơ quan Cảnh sát điều tra - Công an tỉnh phân công giải quyết nguồn tin về tội phạm và thụ lý điều tra vụ án theo thẩm quyền</t>
  </si>
  <si>
    <t>Với diện tích khoảng 16172 ha với mật độ 550 cây/ha</t>
  </si>
  <si>
    <t>So sánh 6 tháng đầu năm với Kế hoạch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</si>
</sst>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0_);_(* \(#,##0\);_(* &quot;-&quot;_);_(@_)"/>
    <numFmt numFmtId="43" formatCode="_(* #,##0.00_);_(* \(#,##0.00\);_(* &quot;-&quot;??_);_(@_)"/>
    <numFmt numFmtId="164" formatCode="_-* #,##0.00\ _₫_-;\-* #,##0.00\ _₫_-;_-* &quot;-&quot;??\ _₫_-;_-@_-"/>
    <numFmt numFmtId="165" formatCode="_-* #,##0.00_k_r_._-;\-* #,##0.00_k_r_._-;_-* &quot;-&quot;??_k_r_._-;_-@_-"/>
    <numFmt numFmtId="166" formatCode="_-* #,##0_k_r_._-;\-* #,##0_k_r_._-;_-* &quot;-&quot;??_k_r_._-;_-@_-"/>
    <numFmt numFmtId="167" formatCode="#,##0.0"/>
    <numFmt numFmtId="168" formatCode="#,##0.00;[Red]#,##0.00"/>
    <numFmt numFmtId="169" formatCode="#,##0;[Red]#,##0"/>
    <numFmt numFmtId="170" formatCode="#,##0.0;[Red]#,##0.0"/>
    <numFmt numFmtId="171" formatCode="#,##0.000"/>
    <numFmt numFmtId="172" formatCode="_(* #,##0_);_(* \(#,##0\);_(* &quot;-&quot;??_);_(@_)"/>
    <numFmt numFmtId="173" formatCode="_-* #,##0\ _₫_-;\-* #,##0\ _₫_-;_-* &quot;-&quot;??\ _₫_-;_-@_-"/>
    <numFmt numFmtId="174" formatCode="0.0"/>
    <numFmt numFmtId="175" formatCode="_(* #,##0.0_);_(* \(#,##0.0\);_(* &quot;-&quot;??_);_(@_)"/>
    <numFmt numFmtId="176" formatCode="_-* #,##0_-;\-* #,##0_-;_-* &quot;-&quot;??_-;_-@_-"/>
    <numFmt numFmtId="177" formatCode="0.000"/>
    <numFmt numFmtId="178" formatCode="_-* #,##0.0_k_r_._-;\-* #,##0.0_k_r_._-;_-* &quot;-&quot;??_k_r_._-;_-@_-"/>
    <numFmt numFmtId="179" formatCode="_-* #,##0.0_-;\-* #,##0.0_-;_-* &quot;-&quot;??_-;_-@_-"/>
  </numFmts>
  <fonts count="50" x14ac:knownFonts="1">
    <font>
      <sz val="11"/>
      <color theme="1"/>
      <name val="Calibri"/>
      <family val="2"/>
      <scheme val="minor"/>
    </font>
    <font>
      <sz val="11"/>
      <color theme="1"/>
      <name val="Calibri"/>
      <family val="2"/>
      <scheme val="minor"/>
    </font>
    <font>
      <b/>
      <sz val="11"/>
      <color theme="1"/>
      <name val="Calibri"/>
      <family val="2"/>
      <scheme val="minor"/>
    </font>
    <font>
      <sz val="12"/>
      <name val="Times New Roman"/>
      <family val="1"/>
    </font>
    <font>
      <b/>
      <sz val="14"/>
      <name val="Times New Roman"/>
      <family val="1"/>
    </font>
    <font>
      <sz val="14"/>
      <name val="Times New Roman"/>
      <family val="1"/>
    </font>
    <font>
      <i/>
      <sz val="11"/>
      <name val="Times New Roman"/>
      <family val="1"/>
    </font>
    <font>
      <b/>
      <sz val="12"/>
      <name val="Times New Roman"/>
      <family val="1"/>
    </font>
    <font>
      <b/>
      <sz val="11"/>
      <name val="Times New Roman"/>
      <family val="1"/>
    </font>
    <font>
      <sz val="11"/>
      <name val="Times New Roman"/>
      <family val="1"/>
    </font>
    <font>
      <sz val="13"/>
      <name val=".VnTime"/>
      <family val="2"/>
    </font>
    <font>
      <b/>
      <i/>
      <sz val="11"/>
      <name val="Times New Roman"/>
      <family val="1"/>
    </font>
    <font>
      <i/>
      <sz val="12"/>
      <name val="Times New Roman"/>
      <family val="1"/>
    </font>
    <font>
      <sz val="13"/>
      <name val="Times New Roman"/>
      <family val="1"/>
    </font>
    <font>
      <sz val="10"/>
      <name val="Times New Roman"/>
      <family val="1"/>
    </font>
    <font>
      <sz val="10"/>
      <name val=".VnArial"/>
      <family val="2"/>
    </font>
    <font>
      <sz val="12"/>
      <name val="Arial Narrow"/>
      <family val="2"/>
    </font>
    <font>
      <sz val="10"/>
      <name val="Arial"/>
      <family val="2"/>
    </font>
    <font>
      <sz val="11"/>
      <name val="Calibri"/>
      <family val="2"/>
      <charset val="163"/>
      <scheme val="minor"/>
    </font>
    <font>
      <b/>
      <i/>
      <sz val="12"/>
      <name val="Times New Roman"/>
      <family val="1"/>
      <charset val="163"/>
    </font>
    <font>
      <sz val="11"/>
      <color rgb="FFC00000"/>
      <name val="Times New Roman"/>
      <family val="1"/>
    </font>
    <font>
      <i/>
      <sz val="11"/>
      <color rgb="FFC00000"/>
      <name val="Times New Roman"/>
      <family val="1"/>
    </font>
    <font>
      <sz val="11"/>
      <color theme="4"/>
      <name val="Times New Roman"/>
      <family val="1"/>
    </font>
    <font>
      <sz val="12"/>
      <name val="Times New Roman"/>
      <family val="1"/>
      <charset val="163"/>
    </font>
    <font>
      <sz val="11"/>
      <name val="Times New Roman"/>
      <family val="1"/>
      <charset val="163"/>
    </font>
    <font>
      <sz val="11"/>
      <color theme="1"/>
      <name val="Times New Roman"/>
      <family val="1"/>
      <charset val="163"/>
    </font>
    <font>
      <b/>
      <sz val="14"/>
      <color theme="0"/>
      <name val="Times New Roman"/>
      <family val="1"/>
    </font>
    <font>
      <sz val="14"/>
      <color theme="0"/>
      <name val="Times New Roman"/>
      <family val="1"/>
    </font>
    <font>
      <sz val="14"/>
      <color theme="0"/>
      <name val="Calibri Light"/>
      <family val="1"/>
      <charset val="163"/>
      <scheme val="major"/>
    </font>
    <font>
      <sz val="10"/>
      <color theme="0"/>
      <name val="Calibri Light"/>
      <family val="1"/>
      <charset val="163"/>
      <scheme val="major"/>
    </font>
    <font>
      <sz val="11"/>
      <color theme="0"/>
      <name val="Calibri"/>
      <family val="2"/>
      <scheme val="minor"/>
    </font>
    <font>
      <i/>
      <sz val="11"/>
      <color theme="0"/>
      <name val="Times New Roman"/>
      <family val="1"/>
    </font>
    <font>
      <b/>
      <sz val="12"/>
      <color theme="0"/>
      <name val="Times New Roman"/>
      <family val="1"/>
    </font>
    <font>
      <sz val="12"/>
      <color theme="0"/>
      <name val="Times New Roman"/>
      <family val="1"/>
    </font>
    <font>
      <sz val="12"/>
      <color theme="0"/>
      <name val="Calibri Light"/>
      <family val="1"/>
      <charset val="163"/>
      <scheme val="major"/>
    </font>
    <font>
      <b/>
      <sz val="11"/>
      <color theme="0"/>
      <name val="Times New Roman"/>
      <family val="1"/>
    </font>
    <font>
      <b/>
      <i/>
      <sz val="12"/>
      <color theme="0"/>
      <name val="Times New Roman"/>
      <family val="1"/>
    </font>
    <font>
      <b/>
      <i/>
      <sz val="12"/>
      <color theme="0"/>
      <name val="Calibri Light"/>
      <family val="1"/>
      <charset val="163"/>
      <scheme val="major"/>
    </font>
    <font>
      <b/>
      <i/>
      <sz val="10"/>
      <color theme="0"/>
      <name val="Calibri Light"/>
      <family val="1"/>
      <charset val="163"/>
      <scheme val="major"/>
    </font>
    <font>
      <b/>
      <sz val="12"/>
      <color theme="0"/>
      <name val="Calibri Light"/>
      <family val="1"/>
      <charset val="163"/>
      <scheme val="major"/>
    </font>
    <font>
      <b/>
      <sz val="10"/>
      <color theme="0"/>
      <name val="Calibri Light"/>
      <family val="1"/>
      <charset val="163"/>
      <scheme val="major"/>
    </font>
    <font>
      <b/>
      <i/>
      <sz val="11"/>
      <color theme="0"/>
      <name val="Times New Roman"/>
      <family val="1"/>
    </font>
    <font>
      <b/>
      <sz val="11"/>
      <color theme="0"/>
      <name val="Calibri"/>
      <family val="2"/>
      <scheme val="minor"/>
    </font>
    <font>
      <i/>
      <sz val="12"/>
      <color theme="0"/>
      <name val="Times New Roman"/>
      <family val="1"/>
    </font>
    <font>
      <i/>
      <sz val="12"/>
      <color theme="0"/>
      <name val="Calibri Light"/>
      <family val="1"/>
      <charset val="163"/>
      <scheme val="major"/>
    </font>
    <font>
      <i/>
      <sz val="10"/>
      <color theme="0"/>
      <name val="Calibri Light"/>
      <family val="1"/>
      <charset val="163"/>
      <scheme val="major"/>
    </font>
    <font>
      <sz val="11"/>
      <color theme="0"/>
      <name val="Times New Roman"/>
      <family val="1"/>
    </font>
    <font>
      <i/>
      <sz val="10"/>
      <name val="Calibri Light"/>
      <family val="1"/>
      <charset val="163"/>
      <scheme val="major"/>
    </font>
    <font>
      <sz val="10"/>
      <name val="Calibri Light"/>
      <family val="1"/>
      <charset val="163"/>
      <scheme val="major"/>
    </font>
    <font>
      <b/>
      <i/>
      <sz val="10"/>
      <name val="Calibri Light"/>
      <family val="1"/>
      <charset val="163"/>
      <scheme val="maj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5" tint="0.5999938962981048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43" fontId="1" fillId="0" borderId="0" applyFont="0" applyFill="0" applyBorder="0" applyAlignment="0" applyProtection="0"/>
    <xf numFmtId="0" fontId="3" fillId="0" borderId="0"/>
    <xf numFmtId="165" fontId="10" fillId="0" borderId="0" applyFont="0" applyFill="0" applyBorder="0" applyAlignment="0" applyProtection="0"/>
    <xf numFmtId="0" fontId="3" fillId="0" borderId="0"/>
    <xf numFmtId="0" fontId="3" fillId="0" borderId="0"/>
    <xf numFmtId="0" fontId="15" fillId="0" borderId="0"/>
    <xf numFmtId="0" fontId="5" fillId="0" borderId="0"/>
    <xf numFmtId="0" fontId="3" fillId="0" borderId="0"/>
    <xf numFmtId="0" fontId="16" fillId="0" borderId="0"/>
    <xf numFmtId="43" fontId="10" fillId="0" borderId="0" applyFont="0" applyFill="0" applyBorder="0" applyAlignment="0" applyProtection="0"/>
    <xf numFmtId="0" fontId="17" fillId="0" borderId="0"/>
    <xf numFmtId="9" fontId="10" fillId="0" borderId="0" applyFont="0" applyFill="0" applyBorder="0" applyAlignment="0" applyProtection="0"/>
    <xf numFmtId="0" fontId="3" fillId="0" borderId="0"/>
    <xf numFmtId="0" fontId="3" fillId="0" borderId="0"/>
    <xf numFmtId="0" fontId="18" fillId="0" borderId="0"/>
  </cellStyleXfs>
  <cellXfs count="577">
    <xf numFmtId="0" fontId="0" fillId="0" borderId="0" xfId="0"/>
    <xf numFmtId="0" fontId="7" fillId="2" borderId="2" xfId="0"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0" fontId="7" fillId="0" borderId="2" xfId="2" applyFont="1" applyBorder="1" applyAlignment="1">
      <alignment horizontal="center" vertical="center" wrapText="1"/>
    </xf>
    <xf numFmtId="0" fontId="7" fillId="0" borderId="2" xfId="2" applyFont="1" applyBorder="1" applyAlignment="1">
      <alignment horizontal="justify" vertical="center" wrapText="1"/>
    </xf>
    <xf numFmtId="0" fontId="8" fillId="0" borderId="2" xfId="2" applyFont="1" applyBorder="1" applyAlignment="1">
      <alignment horizontal="center" vertical="center" wrapText="1"/>
    </xf>
    <xf numFmtId="0" fontId="9" fillId="0" borderId="2" xfId="2" applyFont="1" applyBorder="1" applyAlignment="1">
      <alignment horizontal="center" vertical="center" wrapText="1"/>
    </xf>
    <xf numFmtId="0" fontId="8" fillId="2" borderId="2" xfId="2" applyFont="1" applyFill="1" applyBorder="1" applyAlignment="1">
      <alignment horizontal="center" vertical="center" wrapText="1"/>
    </xf>
    <xf numFmtId="0" fontId="8" fillId="2" borderId="2" xfId="2" applyFont="1" applyFill="1" applyBorder="1" applyAlignment="1">
      <alignment vertical="center" wrapText="1"/>
    </xf>
    <xf numFmtId="49" fontId="3" fillId="0" borderId="2" xfId="2" applyNumberFormat="1" applyFont="1" applyFill="1" applyBorder="1" applyAlignment="1">
      <alignment horizontal="justify" vertical="center" wrapText="1"/>
    </xf>
    <xf numFmtId="0" fontId="9" fillId="0" borderId="2" xfId="2" applyFont="1" applyFill="1" applyBorder="1" applyAlignment="1">
      <alignment horizontal="center" vertical="center"/>
    </xf>
    <xf numFmtId="165" fontId="9" fillId="0" borderId="2" xfId="3" applyFont="1" applyFill="1" applyBorder="1" applyAlignment="1">
      <alignment horizontal="right" vertical="center" wrapText="1"/>
    </xf>
    <xf numFmtId="43" fontId="9" fillId="0" borderId="2" xfId="1" applyFont="1" applyFill="1" applyBorder="1" applyAlignment="1">
      <alignment horizontal="right" vertical="center" wrapText="1"/>
    </xf>
    <xf numFmtId="2" fontId="8" fillId="0" borderId="2" xfId="2" applyNumberFormat="1" applyFont="1" applyFill="1" applyBorder="1" applyAlignment="1">
      <alignment vertical="center"/>
    </xf>
    <xf numFmtId="0" fontId="11" fillId="0" borderId="2" xfId="2" applyFont="1" applyFill="1" applyBorder="1" applyAlignment="1">
      <alignment vertical="center"/>
    </xf>
    <xf numFmtId="0" fontId="7" fillId="0" borderId="2" xfId="2" applyFont="1" applyFill="1" applyBorder="1" applyAlignment="1">
      <alignment horizontal="center" vertical="center"/>
    </xf>
    <xf numFmtId="2" fontId="9" fillId="0" borderId="2" xfId="2" applyNumberFormat="1" applyFont="1" applyFill="1" applyBorder="1" applyAlignment="1">
      <alignment vertical="center"/>
    </xf>
    <xf numFmtId="0" fontId="6" fillId="0" borderId="2" xfId="2" applyFont="1" applyFill="1" applyBorder="1" applyAlignment="1">
      <alignment vertical="center"/>
    </xf>
    <xf numFmtId="166" fontId="9" fillId="0" borderId="2" xfId="3" applyNumberFormat="1" applyFont="1" applyFill="1" applyBorder="1" applyAlignment="1">
      <alignment horizontal="right" vertical="center" wrapText="1"/>
    </xf>
    <xf numFmtId="49" fontId="7" fillId="0" borderId="2" xfId="2" applyNumberFormat="1" applyFont="1" applyFill="1" applyBorder="1" applyAlignment="1">
      <alignment horizontal="justify" vertical="center" wrapText="1"/>
    </xf>
    <xf numFmtId="0" fontId="8" fillId="0" borderId="2" xfId="2" applyFont="1" applyFill="1" applyBorder="1" applyAlignment="1">
      <alignment horizontal="center" vertical="center" wrapText="1"/>
    </xf>
    <xf numFmtId="43" fontId="8" fillId="0" borderId="2" xfId="1" applyFont="1" applyFill="1" applyBorder="1" applyAlignment="1">
      <alignment horizontal="right" vertical="center" wrapText="1"/>
    </xf>
    <xf numFmtId="2" fontId="8" fillId="0" borderId="2" xfId="2" applyNumberFormat="1" applyFont="1" applyFill="1" applyBorder="1" applyAlignment="1">
      <alignment horizontal="center" vertical="center" wrapText="1"/>
    </xf>
    <xf numFmtId="43" fontId="8" fillId="0" borderId="2" xfId="1" applyFont="1" applyFill="1" applyBorder="1" applyAlignment="1">
      <alignment vertical="center" wrapText="1"/>
    </xf>
    <xf numFmtId="0" fontId="8" fillId="0" borderId="2" xfId="2" applyFont="1" applyFill="1" applyBorder="1" applyAlignment="1">
      <alignment horizontal="center" vertical="center"/>
    </xf>
    <xf numFmtId="165" fontId="8" fillId="0" borderId="2" xfId="3" applyFont="1" applyFill="1" applyBorder="1" applyAlignment="1">
      <alignment horizontal="right" vertical="center" wrapText="1"/>
    </xf>
    <xf numFmtId="2" fontId="8" fillId="0" borderId="2" xfId="2" applyNumberFormat="1" applyFont="1" applyFill="1" applyBorder="1" applyAlignment="1">
      <alignment horizontal="right" vertical="center" wrapText="1"/>
    </xf>
    <xf numFmtId="0" fontId="3" fillId="0" borderId="2" xfId="2" quotePrefix="1" applyFont="1" applyFill="1" applyBorder="1" applyAlignment="1">
      <alignment horizontal="center" vertical="center"/>
    </xf>
    <xf numFmtId="2" fontId="9" fillId="0" borderId="2" xfId="2" applyNumberFormat="1" applyFont="1" applyFill="1" applyBorder="1" applyAlignment="1">
      <alignment horizontal="right" vertical="center" wrapText="1"/>
    </xf>
    <xf numFmtId="2" fontId="9" fillId="0" borderId="2" xfId="2" applyNumberFormat="1" applyFont="1" applyFill="1" applyBorder="1" applyAlignment="1">
      <alignment horizontal="center" vertical="center"/>
    </xf>
    <xf numFmtId="0" fontId="9" fillId="0" borderId="2" xfId="2" applyFont="1" applyFill="1" applyBorder="1" applyAlignment="1">
      <alignment vertical="center"/>
    </xf>
    <xf numFmtId="0" fontId="7" fillId="0" borderId="2" xfId="4" applyFont="1" applyBorder="1" applyAlignment="1">
      <alignment horizontal="center" vertical="center"/>
    </xf>
    <xf numFmtId="0" fontId="7" fillId="0" borderId="2" xfId="4" applyFont="1" applyBorder="1" applyAlignment="1">
      <alignment horizontal="justify" vertical="center" wrapText="1"/>
    </xf>
    <xf numFmtId="0" fontId="8" fillId="0" borderId="2" xfId="4" applyFont="1" applyBorder="1" applyAlignment="1">
      <alignment horizontal="center" vertical="center"/>
    </xf>
    <xf numFmtId="0" fontId="9" fillId="2" borderId="2" xfId="2" applyFont="1" applyFill="1" applyBorder="1" applyAlignment="1">
      <alignment horizontal="right" vertical="center" wrapText="1"/>
    </xf>
    <xf numFmtId="2" fontId="9" fillId="2" borderId="2" xfId="2" applyNumberFormat="1" applyFont="1" applyFill="1" applyBorder="1" applyAlignment="1">
      <alignment vertical="center"/>
    </xf>
    <xf numFmtId="0" fontId="9" fillId="2" borderId="2" xfId="2" applyFont="1" applyFill="1" applyBorder="1" applyAlignment="1">
      <alignment vertical="center"/>
    </xf>
    <xf numFmtId="0" fontId="7" fillId="0" borderId="2" xfId="5" applyFont="1" applyBorder="1" applyAlignment="1">
      <alignment horizontal="center" vertical="center"/>
    </xf>
    <xf numFmtId="0" fontId="7" fillId="0" borderId="2" xfId="5" applyFont="1" applyBorder="1" applyAlignment="1">
      <alignment horizontal="justify" vertical="center" wrapText="1"/>
    </xf>
    <xf numFmtId="0" fontId="8" fillId="0" borderId="2" xfId="5" applyFont="1" applyBorder="1" applyAlignment="1">
      <alignment horizontal="center" vertical="center"/>
    </xf>
    <xf numFmtId="0" fontId="8" fillId="2" borderId="2" xfId="5" applyFont="1" applyFill="1" applyBorder="1" applyAlignment="1">
      <alignment horizontal="center" vertical="center"/>
    </xf>
    <xf numFmtId="43" fontId="8" fillId="2" borderId="2" xfId="3" applyNumberFormat="1" applyFont="1" applyFill="1" applyBorder="1" applyAlignment="1">
      <alignment horizontal="right" vertical="center" wrapText="1"/>
    </xf>
    <xf numFmtId="2" fontId="8" fillId="2" borderId="2" xfId="2" applyNumberFormat="1" applyFont="1" applyFill="1" applyBorder="1" applyAlignment="1">
      <alignment vertical="center"/>
    </xf>
    <xf numFmtId="0" fontId="8" fillId="2" borderId="2" xfId="2" applyFont="1" applyFill="1" applyBorder="1" applyAlignment="1">
      <alignment vertical="center"/>
    </xf>
    <xf numFmtId="0" fontId="3" fillId="0" borderId="2" xfId="5" applyFont="1" applyBorder="1" applyAlignment="1">
      <alignment horizontal="center" vertical="center"/>
    </xf>
    <xf numFmtId="0" fontId="3" fillId="0" borderId="2" xfId="5" applyFont="1" applyBorder="1" applyAlignment="1">
      <alignment vertical="center" wrapText="1"/>
    </xf>
    <xf numFmtId="0" fontId="9" fillId="2" borderId="2" xfId="5" applyFont="1" applyFill="1" applyBorder="1" applyAlignment="1">
      <alignment horizontal="center" vertical="center"/>
    </xf>
    <xf numFmtId="165" fontId="9" fillId="2" borderId="2" xfId="3" applyFont="1" applyFill="1" applyBorder="1" applyAlignment="1">
      <alignment horizontal="right" vertical="center" wrapText="1"/>
    </xf>
    <xf numFmtId="0" fontId="3" fillId="0" borderId="2" xfId="5" applyFont="1" applyBorder="1" applyAlignment="1">
      <alignment horizontal="left" vertical="center" wrapText="1" indent="1"/>
    </xf>
    <xf numFmtId="167" fontId="9" fillId="2" borderId="2" xfId="0" applyNumberFormat="1" applyFont="1" applyFill="1" applyBorder="1" applyAlignment="1">
      <alignment horizontal="right" wrapText="1"/>
    </xf>
    <xf numFmtId="0" fontId="3" fillId="0" borderId="2" xfId="5" quotePrefix="1" applyFont="1" applyBorder="1" applyAlignment="1">
      <alignment horizontal="left" vertical="center" wrapText="1" indent="1"/>
    </xf>
    <xf numFmtId="167" fontId="9" fillId="0" borderId="2" xfId="0" applyNumberFormat="1" applyFont="1" applyFill="1" applyBorder="1" applyAlignment="1">
      <alignment horizontal="right" wrapText="1"/>
    </xf>
    <xf numFmtId="3" fontId="9" fillId="2" borderId="2" xfId="2" applyNumberFormat="1" applyFont="1" applyFill="1" applyBorder="1" applyAlignment="1">
      <alignment horizontal="right" vertical="center"/>
    </xf>
    <xf numFmtId="167" fontId="9" fillId="2" borderId="2" xfId="2" applyNumberFormat="1" applyFont="1" applyFill="1" applyBorder="1" applyAlignment="1">
      <alignment horizontal="right" vertical="center" wrapText="1"/>
    </xf>
    <xf numFmtId="0" fontId="3" fillId="0" borderId="2" xfId="5" quotePrefix="1" applyFont="1" applyBorder="1" applyAlignment="1">
      <alignment horizontal="center" vertical="center"/>
    </xf>
    <xf numFmtId="0" fontId="3" fillId="0" borderId="2" xfId="0" quotePrefix="1" applyFont="1" applyBorder="1" applyAlignment="1">
      <alignment horizontal="left" vertical="center" wrapText="1"/>
    </xf>
    <xf numFmtId="167" fontId="9" fillId="0" borderId="2" xfId="2" applyNumberFormat="1" applyFont="1" applyFill="1" applyBorder="1" applyAlignment="1">
      <alignment horizontal="right" vertical="center"/>
    </xf>
    <xf numFmtId="167" fontId="9" fillId="0" borderId="2" xfId="2" applyNumberFormat="1" applyFont="1" applyFill="1" applyBorder="1" applyAlignment="1">
      <alignment horizontal="right" vertical="center" wrapText="1"/>
    </xf>
    <xf numFmtId="3" fontId="6" fillId="2" borderId="2" xfId="2" applyNumberFormat="1" applyFont="1" applyFill="1" applyBorder="1" applyAlignment="1">
      <alignment horizontal="right" vertical="center"/>
    </xf>
    <xf numFmtId="0" fontId="9" fillId="0" borderId="2" xfId="0" quotePrefix="1" applyFont="1" applyBorder="1" applyAlignment="1">
      <alignment horizontal="left" vertical="center" wrapText="1"/>
    </xf>
    <xf numFmtId="43" fontId="6" fillId="2" borderId="2" xfId="1" applyFont="1" applyFill="1" applyBorder="1" applyAlignment="1">
      <alignment horizontal="right" vertical="center" wrapText="1"/>
    </xf>
    <xf numFmtId="2" fontId="6" fillId="2" borderId="2" xfId="2" applyNumberFormat="1" applyFont="1" applyFill="1" applyBorder="1" applyAlignment="1">
      <alignment vertical="center"/>
    </xf>
    <xf numFmtId="0" fontId="3" fillId="0" borderId="2" xfId="5" quotePrefix="1" applyFont="1" applyBorder="1" applyAlignment="1">
      <alignment vertical="center" wrapText="1"/>
    </xf>
    <xf numFmtId="0" fontId="9" fillId="2" borderId="2" xfId="5" applyFont="1" applyFill="1" applyBorder="1" applyAlignment="1">
      <alignment horizontal="center" vertical="center" wrapText="1"/>
    </xf>
    <xf numFmtId="168" fontId="9" fillId="0" borderId="2" xfId="3" applyNumberFormat="1" applyFont="1" applyFill="1" applyBorder="1" applyAlignment="1">
      <alignment horizontal="right" vertical="center" wrapText="1"/>
    </xf>
    <xf numFmtId="0" fontId="9" fillId="0" borderId="2" xfId="0" quotePrefix="1" applyFont="1" applyBorder="1" applyAlignment="1">
      <alignment horizontal="center" vertical="center"/>
    </xf>
    <xf numFmtId="0" fontId="9" fillId="0" borderId="2" xfId="0" quotePrefix="1" applyFont="1" applyBorder="1" applyAlignment="1">
      <alignment vertical="center" wrapText="1"/>
    </xf>
    <xf numFmtId="3" fontId="8" fillId="2" borderId="2" xfId="2" applyNumberFormat="1" applyFont="1" applyFill="1" applyBorder="1" applyAlignment="1">
      <alignment horizontal="right" vertical="center"/>
    </xf>
    <xf numFmtId="0" fontId="7" fillId="0" borderId="2" xfId="0" quotePrefix="1" applyFont="1" applyBorder="1" applyAlignment="1">
      <alignment horizontal="left" vertical="center" wrapText="1"/>
    </xf>
    <xf numFmtId="0" fontId="11" fillId="2" borderId="2" xfId="5" quotePrefix="1" applyFont="1" applyFill="1" applyBorder="1" applyAlignment="1">
      <alignment horizontal="center" vertical="center"/>
    </xf>
    <xf numFmtId="167" fontId="11" fillId="2" borderId="2" xfId="2" applyNumberFormat="1" applyFont="1" applyFill="1" applyBorder="1" applyAlignment="1">
      <alignment horizontal="right" vertical="center"/>
    </xf>
    <xf numFmtId="167" fontId="11" fillId="2" borderId="2" xfId="2" applyNumberFormat="1" applyFont="1" applyFill="1" applyBorder="1" applyAlignment="1">
      <alignment horizontal="right" vertical="center" wrapText="1"/>
    </xf>
    <xf numFmtId="0" fontId="6" fillId="2" borderId="2" xfId="2" applyFont="1" applyFill="1" applyBorder="1" applyAlignment="1">
      <alignment vertical="center"/>
    </xf>
    <xf numFmtId="0" fontId="7" fillId="0" borderId="2" xfId="5" applyFont="1" applyBorder="1" applyAlignment="1">
      <alignment vertical="center" wrapText="1"/>
    </xf>
    <xf numFmtId="0" fontId="11" fillId="2" borderId="2" xfId="5" applyFont="1" applyFill="1" applyBorder="1" applyAlignment="1">
      <alignment horizontal="center" vertical="center"/>
    </xf>
    <xf numFmtId="166" fontId="11" fillId="2" borderId="2" xfId="3" applyNumberFormat="1" applyFont="1" applyFill="1" applyBorder="1" applyAlignment="1">
      <alignment horizontal="right" vertical="center" wrapText="1"/>
    </xf>
    <xf numFmtId="0" fontId="3" fillId="0" borderId="2" xfId="4" applyFont="1" applyBorder="1" applyAlignment="1">
      <alignment horizontal="center" vertical="center"/>
    </xf>
    <xf numFmtId="0" fontId="3" fillId="0" borderId="2" xfId="4" applyFont="1" applyBorder="1" applyAlignment="1">
      <alignment vertical="center" wrapText="1"/>
    </xf>
    <xf numFmtId="0" fontId="9" fillId="2" borderId="2" xfId="4" applyFont="1" applyFill="1" applyBorder="1" applyAlignment="1">
      <alignment horizontal="center" vertical="center"/>
    </xf>
    <xf numFmtId="3" fontId="9" fillId="2" borderId="2" xfId="4" applyNumberFormat="1" applyFont="1" applyFill="1" applyBorder="1" applyAlignment="1">
      <alignment horizontal="right" vertical="center"/>
    </xf>
    <xf numFmtId="3" fontId="6" fillId="2" borderId="2" xfId="4" applyNumberFormat="1" applyFont="1" applyFill="1" applyBorder="1" applyAlignment="1">
      <alignment horizontal="right" vertical="center"/>
    </xf>
    <xf numFmtId="166" fontId="9" fillId="2" borderId="2" xfId="3" applyNumberFormat="1" applyFont="1" applyFill="1" applyBorder="1" applyAlignment="1">
      <alignment horizontal="right" vertical="center" wrapText="1"/>
    </xf>
    <xf numFmtId="0" fontId="3" fillId="0" borderId="2" xfId="4" quotePrefix="1" applyFont="1" applyBorder="1" applyAlignment="1">
      <alignment horizontal="center" vertical="center"/>
    </xf>
    <xf numFmtId="0" fontId="9" fillId="2" borderId="2" xfId="4" quotePrefix="1" applyFont="1" applyFill="1" applyBorder="1" applyAlignment="1">
      <alignment horizontal="center" vertical="center"/>
    </xf>
    <xf numFmtId="0" fontId="7" fillId="0" borderId="2" xfId="4" quotePrefix="1" applyFont="1" applyBorder="1" applyAlignment="1">
      <alignment horizontal="center" vertical="center"/>
    </xf>
    <xf numFmtId="0" fontId="7" fillId="0" borderId="2" xfId="4" applyFont="1" applyBorder="1" applyAlignment="1">
      <alignment vertical="center" wrapText="1"/>
    </xf>
    <xf numFmtId="0" fontId="11" fillId="2" borderId="2" xfId="4" applyFont="1" applyFill="1" applyBorder="1" applyAlignment="1">
      <alignment horizontal="center" vertical="center"/>
    </xf>
    <xf numFmtId="4" fontId="11" fillId="2" borderId="2" xfId="2" applyNumberFormat="1" applyFont="1" applyFill="1" applyBorder="1" applyAlignment="1">
      <alignment horizontal="right" vertical="center" wrapText="1"/>
    </xf>
    <xf numFmtId="3" fontId="11" fillId="2" borderId="2" xfId="4" applyNumberFormat="1" applyFont="1" applyFill="1" applyBorder="1" applyAlignment="1">
      <alignment horizontal="right" vertical="center"/>
    </xf>
    <xf numFmtId="43" fontId="8" fillId="2" borderId="2" xfId="1" applyFont="1" applyFill="1" applyBorder="1" applyAlignment="1">
      <alignment horizontal="right" vertical="center" wrapText="1"/>
    </xf>
    <xf numFmtId="0" fontId="3" fillId="0" borderId="2" xfId="4" quotePrefix="1" applyFont="1" applyBorder="1" applyAlignment="1">
      <alignment vertical="center" wrapText="1"/>
    </xf>
    <xf numFmtId="43" fontId="9" fillId="2" borderId="2" xfId="1" applyFont="1" applyFill="1" applyBorder="1" applyAlignment="1">
      <alignment horizontal="right" vertical="center" wrapText="1"/>
    </xf>
    <xf numFmtId="0" fontId="6" fillId="2" borderId="2" xfId="4" applyFont="1" applyFill="1" applyBorder="1" applyAlignment="1">
      <alignment horizontal="center" vertical="center"/>
    </xf>
    <xf numFmtId="165" fontId="6" fillId="2" borderId="2" xfId="3" applyFont="1" applyFill="1" applyBorder="1" applyAlignment="1">
      <alignment horizontal="right" vertical="center" wrapText="1"/>
    </xf>
    <xf numFmtId="0" fontId="8" fillId="2" borderId="2" xfId="4" applyFont="1" applyFill="1" applyBorder="1" applyAlignment="1">
      <alignment horizontal="center" vertical="center"/>
    </xf>
    <xf numFmtId="165" fontId="8" fillId="2" borderId="2" xfId="3" applyFont="1" applyFill="1" applyBorder="1" applyAlignment="1">
      <alignment horizontal="right" vertical="center" wrapText="1"/>
    </xf>
    <xf numFmtId="0" fontId="9" fillId="2" borderId="2" xfId="0" applyFont="1" applyFill="1" applyBorder="1" applyAlignment="1">
      <alignment horizontal="center" vertical="center" wrapText="1"/>
    </xf>
    <xf numFmtId="166" fontId="9" fillId="2" borderId="2" xfId="2" applyNumberFormat="1" applyFont="1" applyFill="1" applyBorder="1" applyAlignment="1">
      <alignment horizontal="right" vertical="center" wrapText="1"/>
    </xf>
    <xf numFmtId="169" fontId="7" fillId="0" borderId="2" xfId="4" applyNumberFormat="1" applyFont="1" applyBorder="1" applyAlignment="1">
      <alignment horizontal="justify" vertical="center" wrapText="1"/>
    </xf>
    <xf numFmtId="169" fontId="8" fillId="2" borderId="2" xfId="4" applyNumberFormat="1" applyFont="1" applyFill="1" applyBorder="1" applyAlignment="1">
      <alignment horizontal="center" vertical="center"/>
    </xf>
    <xf numFmtId="169" fontId="3" fillId="0" borderId="2" xfId="4" applyNumberFormat="1" applyFont="1" applyBorder="1" applyAlignment="1">
      <alignment horizontal="center" vertical="center" wrapText="1"/>
    </xf>
    <xf numFmtId="169" fontId="3" fillId="0" borderId="2" xfId="4" applyNumberFormat="1" applyFont="1" applyBorder="1" applyAlignment="1">
      <alignment horizontal="justify" vertical="center" wrapText="1"/>
    </xf>
    <xf numFmtId="4" fontId="9" fillId="2" borderId="2" xfId="2" applyNumberFormat="1" applyFont="1" applyFill="1" applyBorder="1" applyAlignment="1">
      <alignment horizontal="right" vertical="center" wrapText="1"/>
    </xf>
    <xf numFmtId="3" fontId="8" fillId="2" borderId="2" xfId="4" applyNumberFormat="1" applyFont="1" applyFill="1" applyBorder="1" applyAlignment="1">
      <alignment horizontal="right" vertical="center"/>
    </xf>
    <xf numFmtId="167" fontId="9" fillId="2" borderId="2" xfId="2" applyNumberFormat="1" applyFont="1" applyFill="1" applyBorder="1" applyAlignment="1">
      <alignment horizontal="right" vertical="center"/>
    </xf>
    <xf numFmtId="4" fontId="9" fillId="2" borderId="2" xfId="4" applyNumberFormat="1" applyFont="1" applyFill="1" applyBorder="1" applyAlignment="1">
      <alignment horizontal="right" vertical="center"/>
    </xf>
    <xf numFmtId="0" fontId="9" fillId="2" borderId="2" xfId="0" quotePrefix="1" applyFont="1" applyFill="1" applyBorder="1" applyAlignment="1">
      <alignment horizontal="center" vertical="center" wrapText="1"/>
    </xf>
    <xf numFmtId="2" fontId="9" fillId="2" borderId="2" xfId="2" applyNumberFormat="1" applyFont="1" applyFill="1" applyBorder="1" applyAlignment="1">
      <alignment horizontal="center" vertical="center"/>
    </xf>
    <xf numFmtId="169" fontId="3" fillId="0" borderId="2" xfId="4" quotePrefix="1" applyNumberFormat="1" applyFont="1" applyBorder="1" applyAlignment="1">
      <alignment horizontal="center" vertical="center" wrapText="1"/>
    </xf>
    <xf numFmtId="0" fontId="7" fillId="2" borderId="2" xfId="4" applyFont="1" applyFill="1" applyBorder="1" applyAlignment="1">
      <alignment horizontal="center" vertical="center"/>
    </xf>
    <xf numFmtId="0" fontId="7" fillId="2" borderId="2" xfId="4" applyFont="1" applyFill="1" applyBorder="1" applyAlignment="1">
      <alignment horizontal="justify" vertical="center" wrapText="1"/>
    </xf>
    <xf numFmtId="0" fontId="9" fillId="2" borderId="2" xfId="2" applyFont="1" applyFill="1" applyBorder="1" applyAlignment="1">
      <alignment horizontal="center" vertical="center"/>
    </xf>
    <xf numFmtId="0" fontId="9" fillId="2" borderId="2" xfId="2" applyFont="1" applyFill="1" applyBorder="1" applyAlignment="1">
      <alignment horizontal="center" vertical="center" wrapText="1"/>
    </xf>
    <xf numFmtId="0" fontId="3" fillId="0" borderId="2" xfId="6" quotePrefix="1" applyFont="1" applyBorder="1" applyAlignment="1">
      <alignment horizontal="justify" vertical="center"/>
    </xf>
    <xf numFmtId="0" fontId="9" fillId="0" borderId="2" xfId="0" quotePrefix="1" applyFont="1" applyBorder="1" applyAlignment="1">
      <alignment horizontal="center" vertical="center" wrapText="1"/>
    </xf>
    <xf numFmtId="4" fontId="9" fillId="0" borderId="2" xfId="7" applyNumberFormat="1" applyFont="1" applyBorder="1" applyAlignment="1">
      <alignment horizontal="right" vertical="center"/>
    </xf>
    <xf numFmtId="0" fontId="3" fillId="0" borderId="2" xfId="4" applyFont="1" applyBorder="1" applyAlignment="1">
      <alignment horizontal="justify" vertical="center" wrapText="1"/>
    </xf>
    <xf numFmtId="4" fontId="9" fillId="0" borderId="2" xfId="7" applyNumberFormat="1" applyFont="1" applyBorder="1" applyAlignment="1">
      <alignment horizontal="right" vertical="center" wrapText="1"/>
    </xf>
    <xf numFmtId="166" fontId="9" fillId="0" borderId="2" xfId="7" applyNumberFormat="1" applyFont="1" applyBorder="1" applyAlignment="1">
      <alignment horizontal="right" vertical="center"/>
    </xf>
    <xf numFmtId="0" fontId="9" fillId="0" borderId="0" xfId="2" applyFont="1" applyAlignment="1">
      <alignment vertical="center" wrapText="1"/>
    </xf>
    <xf numFmtId="2" fontId="9" fillId="2" borderId="2" xfId="2" applyNumberFormat="1" applyFont="1" applyFill="1" applyBorder="1" applyAlignment="1">
      <alignment horizontal="right" vertical="center" wrapText="1"/>
    </xf>
    <xf numFmtId="2" fontId="8" fillId="2" borderId="2" xfId="2" applyNumberFormat="1" applyFont="1" applyFill="1" applyBorder="1" applyAlignment="1">
      <alignment horizontal="right" vertical="center"/>
    </xf>
    <xf numFmtId="4" fontId="9" fillId="2" borderId="2" xfId="7" applyNumberFormat="1" applyFont="1" applyFill="1" applyBorder="1" applyAlignment="1">
      <alignment horizontal="right" vertical="center" wrapText="1"/>
    </xf>
    <xf numFmtId="0" fontId="7" fillId="0" borderId="2" xfId="2" quotePrefix="1" applyFont="1" applyBorder="1" applyAlignment="1">
      <alignment horizontal="center" vertical="center"/>
    </xf>
    <xf numFmtId="49" fontId="7" fillId="0" borderId="2" xfId="2" applyNumberFormat="1" applyFont="1" applyBorder="1" applyAlignment="1">
      <alignment horizontal="justify" vertical="center" wrapText="1"/>
    </xf>
    <xf numFmtId="0" fontId="8" fillId="2" borderId="2" xfId="2" applyFont="1" applyFill="1" applyBorder="1" applyAlignment="1">
      <alignment horizontal="center" vertical="center"/>
    </xf>
    <xf numFmtId="3" fontId="9" fillId="2" borderId="2" xfId="2" applyNumberFormat="1" applyFont="1" applyFill="1" applyBorder="1" applyAlignment="1">
      <alignment vertical="center"/>
    </xf>
    <xf numFmtId="0" fontId="7" fillId="0" borderId="2" xfId="2" applyFont="1" applyBorder="1" applyAlignment="1">
      <alignment horizontal="center" vertical="center"/>
    </xf>
    <xf numFmtId="0" fontId="8" fillId="0" borderId="2" xfId="2" applyFont="1" applyBorder="1" applyAlignment="1">
      <alignment horizontal="center" vertical="center"/>
    </xf>
    <xf numFmtId="171" fontId="9" fillId="2" borderId="2" xfId="0" applyNumberFormat="1" applyFont="1" applyFill="1" applyBorder="1" applyAlignment="1">
      <alignment vertical="center"/>
    </xf>
    <xf numFmtId="0" fontId="3" fillId="0" borderId="2" xfId="6" applyFont="1" applyBorder="1" applyAlignment="1">
      <alignment horizontal="center" vertical="center"/>
    </xf>
    <xf numFmtId="0" fontId="3" fillId="0" borderId="2" xfId="6" applyFont="1" applyBorder="1" applyAlignment="1">
      <alignment horizontal="justify" vertical="center"/>
    </xf>
    <xf numFmtId="0" fontId="7" fillId="0" borderId="2" xfId="8" applyFont="1" applyBorder="1" applyAlignment="1">
      <alignment horizontal="center" vertical="center"/>
    </xf>
    <xf numFmtId="49" fontId="7" fillId="0" borderId="2" xfId="8" applyNumberFormat="1" applyFont="1" applyBorder="1" applyAlignment="1">
      <alignment horizontal="justify" vertical="center" wrapText="1"/>
    </xf>
    <xf numFmtId="0" fontId="8" fillId="2" borderId="2" xfId="8" applyFont="1" applyFill="1" applyBorder="1" applyAlignment="1">
      <alignment horizontal="center" vertical="center"/>
    </xf>
    <xf numFmtId="3" fontId="8" fillId="2" borderId="2" xfId="0" applyNumberFormat="1" applyFont="1" applyFill="1" applyBorder="1" applyAlignment="1">
      <alignment horizontal="right" vertical="center"/>
    </xf>
    <xf numFmtId="2" fontId="8" fillId="2" borderId="2" xfId="2" applyNumberFormat="1" applyFont="1" applyFill="1" applyBorder="1" applyAlignment="1">
      <alignment horizontal="right" vertical="center" wrapText="1"/>
    </xf>
    <xf numFmtId="3" fontId="8" fillId="2" borderId="2" xfId="2" applyNumberFormat="1" applyFont="1" applyFill="1" applyBorder="1" applyAlignment="1">
      <alignment vertical="center"/>
    </xf>
    <xf numFmtId="0" fontId="8" fillId="2" borderId="2" xfId="0" applyFont="1" applyFill="1" applyBorder="1" applyAlignment="1">
      <alignment horizontal="center" vertical="center"/>
    </xf>
    <xf numFmtId="3" fontId="6" fillId="2" borderId="2" xfId="2" applyNumberFormat="1" applyFont="1" applyFill="1" applyBorder="1" applyAlignment="1">
      <alignment vertical="center"/>
    </xf>
    <xf numFmtId="0" fontId="7" fillId="0" borderId="2" xfId="0" applyFont="1" applyBorder="1" applyAlignment="1">
      <alignment horizontal="justify" vertical="center" wrapText="1"/>
    </xf>
    <xf numFmtId="1" fontId="8" fillId="2" borderId="2" xfId="2" applyNumberFormat="1" applyFont="1" applyFill="1" applyBorder="1" applyAlignment="1">
      <alignment vertical="center"/>
    </xf>
    <xf numFmtId="0" fontId="3" fillId="0" borderId="2" xfId="2" quotePrefix="1" applyFont="1" applyBorder="1" applyAlignment="1">
      <alignment horizontal="center" vertical="center"/>
    </xf>
    <xf numFmtId="49" fontId="3" fillId="0" borderId="2" xfId="2" applyNumberFormat="1" applyFont="1" applyBorder="1" applyAlignment="1">
      <alignment horizontal="justify" vertical="center" wrapText="1"/>
    </xf>
    <xf numFmtId="3" fontId="9" fillId="2" borderId="2" xfId="8" applyNumberFormat="1" applyFont="1" applyFill="1" applyBorder="1" applyAlignment="1">
      <alignment horizontal="center" vertical="center"/>
    </xf>
    <xf numFmtId="0" fontId="7" fillId="0" borderId="2" xfId="9" applyFont="1" applyBorder="1" applyAlignment="1">
      <alignment horizontal="center" vertical="center" wrapText="1"/>
    </xf>
    <xf numFmtId="0" fontId="7" fillId="0" borderId="2" xfId="9" applyFont="1" applyBorder="1" applyAlignment="1">
      <alignment horizontal="justify" vertical="center" wrapText="1"/>
    </xf>
    <xf numFmtId="0" fontId="8" fillId="0" borderId="2" xfId="9" applyFont="1" applyBorder="1" applyAlignment="1">
      <alignment horizontal="center" vertical="center" wrapText="1"/>
    </xf>
    <xf numFmtId="0" fontId="3" fillId="0" borderId="2" xfId="9" applyFont="1" applyBorder="1" applyAlignment="1">
      <alignment horizontal="center" vertical="center" wrapText="1"/>
    </xf>
    <xf numFmtId="0" fontId="3" fillId="0" borderId="2" xfId="9" applyFont="1" applyBorder="1" applyAlignment="1">
      <alignment horizontal="justify" vertical="center" wrapText="1"/>
    </xf>
    <xf numFmtId="0" fontId="9" fillId="0" borderId="2" xfId="9" applyFont="1" applyBorder="1" applyAlignment="1">
      <alignment horizontal="center" vertical="center" wrapText="1"/>
    </xf>
    <xf numFmtId="43" fontId="9" fillId="0" borderId="2" xfId="0" applyNumberFormat="1" applyFont="1" applyBorder="1" applyAlignment="1">
      <alignment horizontal="right" vertical="center" wrapText="1"/>
    </xf>
    <xf numFmtId="43" fontId="9" fillId="2" borderId="2" xfId="1" applyFont="1" applyFill="1" applyBorder="1" applyAlignment="1">
      <alignment vertical="center" wrapText="1"/>
    </xf>
    <xf numFmtId="43" fontId="9" fillId="2" borderId="2" xfId="0" applyNumberFormat="1" applyFont="1" applyFill="1" applyBorder="1" applyAlignment="1">
      <alignment horizontal="right" vertical="center" wrapText="1"/>
    </xf>
    <xf numFmtId="0" fontId="7" fillId="2" borderId="2" xfId="8" applyFont="1" applyFill="1" applyBorder="1" applyAlignment="1">
      <alignment horizontal="center" vertical="center"/>
    </xf>
    <xf numFmtId="0" fontId="7" fillId="2" borderId="2" xfId="8" applyFont="1" applyFill="1" applyBorder="1" applyAlignment="1">
      <alignment horizontal="justify" vertical="center" wrapText="1"/>
    </xf>
    <xf numFmtId="0" fontId="8" fillId="2" borderId="2" xfId="8" applyFont="1" applyFill="1" applyBorder="1" applyAlignment="1">
      <alignment horizontal="center" vertical="center" wrapText="1"/>
    </xf>
    <xf numFmtId="0" fontId="3" fillId="2" borderId="2" xfId="8" applyFont="1" applyFill="1" applyBorder="1" applyAlignment="1">
      <alignment horizontal="center" vertical="center"/>
    </xf>
    <xf numFmtId="0" fontId="3" fillId="2" borderId="2" xfId="8" applyFont="1" applyFill="1" applyBorder="1" applyAlignment="1">
      <alignment horizontal="justify" vertical="center" wrapText="1"/>
    </xf>
    <xf numFmtId="0" fontId="9" fillId="2" borderId="2" xfId="8" applyFont="1" applyFill="1" applyBorder="1" applyAlignment="1">
      <alignment horizontal="center" vertical="center" wrapText="1"/>
    </xf>
    <xf numFmtId="172" fontId="9" fillId="2" borderId="2" xfId="0" applyNumberFormat="1" applyFont="1" applyFill="1" applyBorder="1" applyAlignment="1">
      <alignment horizontal="right" vertical="center" wrapText="1"/>
    </xf>
    <xf numFmtId="0" fontId="3" fillId="2" borderId="2" xfId="2" applyFont="1" applyFill="1" applyBorder="1" applyAlignment="1">
      <alignment horizontal="center" vertical="center"/>
    </xf>
    <xf numFmtId="49" fontId="3" fillId="2" borderId="2" xfId="2" applyNumberFormat="1" applyFont="1" applyFill="1" applyBorder="1" applyAlignment="1">
      <alignment horizontal="justify" vertical="center" wrapText="1"/>
    </xf>
    <xf numFmtId="43" fontId="9" fillId="0" borderId="2" xfId="10" applyFont="1" applyFill="1" applyBorder="1" applyAlignment="1">
      <alignment horizontal="right" vertical="center" wrapText="1"/>
    </xf>
    <xf numFmtId="0" fontId="9" fillId="2" borderId="2" xfId="0" applyFont="1" applyFill="1" applyBorder="1"/>
    <xf numFmtId="169" fontId="9" fillId="2" borderId="2" xfId="0" applyNumberFormat="1" applyFont="1" applyFill="1" applyBorder="1" applyAlignment="1">
      <alignment horizontal="right"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left" vertical="center" wrapText="1"/>
    </xf>
    <xf numFmtId="4" fontId="8" fillId="2" borderId="2" xfId="2" applyNumberFormat="1" applyFont="1" applyFill="1" applyBorder="1" applyAlignment="1">
      <alignment vertical="center"/>
    </xf>
    <xf numFmtId="0" fontId="7" fillId="2" borderId="2" xfId="8" quotePrefix="1" applyFont="1" applyFill="1" applyBorder="1" applyAlignment="1">
      <alignment horizontal="justify" vertical="center" wrapText="1"/>
    </xf>
    <xf numFmtId="3" fontId="9" fillId="2" borderId="2" xfId="3" applyNumberFormat="1" applyFont="1" applyFill="1" applyBorder="1" applyAlignment="1">
      <alignment horizontal="right" vertical="center" wrapText="1"/>
    </xf>
    <xf numFmtId="49" fontId="3" fillId="2" borderId="2" xfId="8" quotePrefix="1" applyNumberFormat="1" applyFont="1" applyFill="1" applyBorder="1" applyAlignment="1">
      <alignment horizontal="justify" vertical="center" wrapText="1"/>
    </xf>
    <xf numFmtId="0" fontId="9" fillId="2" borderId="2" xfId="8" applyFont="1" applyFill="1" applyBorder="1" applyAlignment="1">
      <alignment horizontal="center" vertical="center"/>
    </xf>
    <xf numFmtId="173" fontId="9" fillId="0" borderId="2" xfId="1" applyNumberFormat="1" applyFont="1" applyFill="1" applyBorder="1" applyAlignment="1">
      <alignment horizontal="right" vertical="center" wrapText="1"/>
    </xf>
    <xf numFmtId="49" fontId="3" fillId="2" borderId="2" xfId="8" applyNumberFormat="1" applyFont="1" applyFill="1" applyBorder="1" applyAlignment="1">
      <alignment horizontal="justify" vertical="center" wrapText="1"/>
    </xf>
    <xf numFmtId="0" fontId="7" fillId="2" borderId="2" xfId="8" applyFont="1" applyFill="1" applyBorder="1" applyAlignment="1">
      <alignment horizontal="center" vertical="center" wrapText="1"/>
    </xf>
    <xf numFmtId="49" fontId="7" fillId="2" borderId="2" xfId="8" applyNumberFormat="1" applyFont="1" applyFill="1" applyBorder="1" applyAlignment="1">
      <alignment horizontal="justify" vertical="center" wrapText="1"/>
    </xf>
    <xf numFmtId="4" fontId="9" fillId="2" borderId="2" xfId="0" applyNumberFormat="1" applyFont="1" applyFill="1" applyBorder="1" applyAlignment="1">
      <alignment horizontal="right" vertical="center" wrapText="1"/>
    </xf>
    <xf numFmtId="3" fontId="9" fillId="2" borderId="2" xfId="0" applyNumberFormat="1" applyFont="1" applyFill="1" applyBorder="1" applyAlignment="1">
      <alignment horizontal="center" vertical="center" wrapText="1"/>
    </xf>
    <xf numFmtId="166" fontId="9" fillId="2" borderId="2" xfId="8" applyNumberFormat="1" applyFont="1" applyFill="1" applyBorder="1" applyAlignment="1">
      <alignment horizontal="right" vertical="center"/>
    </xf>
    <xf numFmtId="166" fontId="9" fillId="2" borderId="2" xfId="8" applyNumberFormat="1" applyFont="1" applyFill="1" applyBorder="1" applyAlignment="1">
      <alignment horizontal="right" vertical="center" wrapText="1"/>
    </xf>
    <xf numFmtId="0" fontId="9" fillId="2" borderId="2" xfId="2" applyFont="1" applyFill="1" applyBorder="1" applyAlignment="1">
      <alignment vertical="center" wrapText="1"/>
    </xf>
    <xf numFmtId="0" fontId="3" fillId="2" borderId="2" xfId="11" quotePrefix="1" applyFont="1" applyFill="1" applyBorder="1" applyAlignment="1">
      <alignment vertical="center" wrapText="1"/>
    </xf>
    <xf numFmtId="0" fontId="9" fillId="2" borderId="2" xfId="11" applyFont="1" applyFill="1" applyBorder="1" applyAlignment="1">
      <alignment horizontal="center" vertical="center" wrapText="1"/>
    </xf>
    <xf numFmtId="0" fontId="3" fillId="2" borderId="2" xfId="11" applyFont="1" applyFill="1" applyBorder="1" applyAlignment="1">
      <alignment vertical="center" wrapText="1"/>
    </xf>
    <xf numFmtId="166" fontId="9" fillId="2" borderId="2" xfId="3" applyNumberFormat="1" applyFont="1" applyFill="1" applyBorder="1" applyAlignment="1">
      <alignment horizontal="right" vertical="center"/>
    </xf>
    <xf numFmtId="2" fontId="9" fillId="2" borderId="2" xfId="2" applyNumberFormat="1" applyFont="1" applyFill="1" applyBorder="1" applyAlignment="1">
      <alignment horizontal="right" vertical="center"/>
    </xf>
    <xf numFmtId="165" fontId="9" fillId="2" borderId="2" xfId="3" applyFont="1" applyFill="1" applyBorder="1" applyAlignment="1">
      <alignment horizontal="right" vertical="center"/>
    </xf>
    <xf numFmtId="49" fontId="9" fillId="2" borderId="2" xfId="0" quotePrefix="1" applyNumberFormat="1" applyFont="1" applyFill="1" applyBorder="1" applyAlignment="1">
      <alignment horizontal="left" vertical="center" wrapText="1"/>
    </xf>
    <xf numFmtId="3" fontId="9" fillId="2" borderId="2" xfId="0" applyNumberFormat="1" applyFont="1" applyFill="1" applyBorder="1" applyAlignment="1">
      <alignment horizontal="right" vertical="center"/>
    </xf>
    <xf numFmtId="4" fontId="9" fillId="2" borderId="2" xfId="8" applyNumberFormat="1" applyFont="1" applyFill="1" applyBorder="1" applyAlignment="1">
      <alignment horizontal="right" vertical="center"/>
    </xf>
    <xf numFmtId="0" fontId="3" fillId="2" borderId="2" xfId="8" quotePrefix="1" applyFont="1" applyFill="1" applyBorder="1" applyAlignment="1">
      <alignment horizontal="center" vertical="center"/>
    </xf>
    <xf numFmtId="2" fontId="9" fillId="2" borderId="2" xfId="2" applyNumberFormat="1" applyFont="1" applyFill="1" applyBorder="1" applyAlignment="1">
      <alignment horizontal="center" vertical="center" wrapText="1"/>
    </xf>
    <xf numFmtId="43" fontId="9" fillId="2" borderId="2" xfId="0" applyNumberFormat="1" applyFont="1" applyFill="1" applyBorder="1" applyAlignment="1">
      <alignment horizontal="right" vertical="center"/>
    </xf>
    <xf numFmtId="3" fontId="9" fillId="2" borderId="2" xfId="0" applyNumberFormat="1" applyFont="1" applyFill="1" applyBorder="1" applyAlignment="1">
      <alignment vertical="center"/>
    </xf>
    <xf numFmtId="172" fontId="9" fillId="2" borderId="2" xfId="1" applyNumberFormat="1" applyFont="1" applyFill="1" applyBorder="1" applyAlignment="1">
      <alignment vertical="center"/>
    </xf>
    <xf numFmtId="2" fontId="9" fillId="2" borderId="2" xfId="12" applyNumberFormat="1" applyFont="1" applyFill="1" applyBorder="1" applyAlignment="1">
      <alignment horizontal="right" vertical="center" wrapText="1"/>
    </xf>
    <xf numFmtId="175" fontId="9" fillId="2" borderId="2" xfId="1" applyNumberFormat="1" applyFont="1" applyFill="1" applyBorder="1" applyAlignment="1">
      <alignment vertical="center"/>
    </xf>
    <xf numFmtId="4" fontId="9" fillId="2" borderId="2" xfId="0" applyNumberFormat="1" applyFont="1" applyFill="1" applyBorder="1" applyAlignment="1">
      <alignment horizontal="right" vertical="center"/>
    </xf>
    <xf numFmtId="4" fontId="9" fillId="2" borderId="2" xfId="3" applyNumberFormat="1" applyFont="1" applyFill="1" applyBorder="1" applyAlignment="1">
      <alignment horizontal="right" vertical="center"/>
    </xf>
    <xf numFmtId="172" fontId="6" fillId="2" borderId="2" xfId="1" applyNumberFormat="1" applyFont="1" applyFill="1" applyBorder="1" applyAlignment="1">
      <alignment vertical="center"/>
    </xf>
    <xf numFmtId="166" fontId="9" fillId="0" borderId="2" xfId="3" applyNumberFormat="1" applyFont="1" applyFill="1" applyBorder="1" applyAlignment="1">
      <alignment horizontal="right" vertical="center"/>
    </xf>
    <xf numFmtId="43" fontId="9" fillId="2" borderId="2" xfId="1" applyFont="1" applyFill="1" applyBorder="1" applyAlignment="1">
      <alignment vertical="center"/>
    </xf>
    <xf numFmtId="0" fontId="8" fillId="0" borderId="2" xfId="8" applyFont="1" applyBorder="1" applyAlignment="1">
      <alignment horizontal="center" vertical="center"/>
    </xf>
    <xf numFmtId="0" fontId="7" fillId="0" borderId="2" xfId="13" applyFont="1" applyBorder="1" applyAlignment="1">
      <alignment horizontal="center" vertical="center"/>
    </xf>
    <xf numFmtId="0" fontId="7" fillId="0" borderId="2" xfId="13" applyFont="1" applyBorder="1" applyAlignment="1">
      <alignment horizontal="justify" vertical="center" wrapText="1"/>
    </xf>
    <xf numFmtId="0" fontId="9" fillId="0" borderId="2" xfId="13" applyFont="1" applyBorder="1" applyAlignment="1">
      <alignment horizontal="center" vertical="center"/>
    </xf>
    <xf numFmtId="165" fontId="9" fillId="0" borderId="2" xfId="3" applyFont="1" applyFill="1" applyBorder="1" applyAlignment="1">
      <alignment horizontal="center" vertical="center" wrapText="1"/>
    </xf>
    <xf numFmtId="0" fontId="7" fillId="0" borderId="2" xfId="14" applyFont="1" applyBorder="1" applyAlignment="1">
      <alignment vertical="center" wrapText="1"/>
    </xf>
    <xf numFmtId="0" fontId="7" fillId="0" borderId="2" xfId="0" applyFont="1" applyBorder="1" applyAlignment="1">
      <alignment horizontal="left" vertical="center" wrapText="1"/>
    </xf>
    <xf numFmtId="0" fontId="9" fillId="2" borderId="2" xfId="9" applyFont="1" applyFill="1" applyBorder="1" applyAlignment="1">
      <alignment horizontal="center" vertical="center" wrapText="1"/>
    </xf>
    <xf numFmtId="165" fontId="8" fillId="2" borderId="2" xfId="3" applyFont="1" applyFill="1" applyBorder="1" applyAlignment="1">
      <alignment horizontal="center" vertical="center"/>
    </xf>
    <xf numFmtId="0" fontId="7" fillId="2" borderId="2" xfId="2" applyFont="1" applyFill="1" applyBorder="1" applyAlignment="1">
      <alignment horizontal="right" vertical="center" wrapText="1"/>
    </xf>
    <xf numFmtId="1" fontId="8" fillId="2" borderId="2" xfId="0" applyNumberFormat="1" applyFont="1" applyFill="1" applyBorder="1" applyAlignment="1">
      <alignment horizontal="right" vertical="center" wrapText="1"/>
    </xf>
    <xf numFmtId="0" fontId="9" fillId="0" borderId="2" xfId="2" applyFont="1" applyBorder="1" applyAlignment="1">
      <alignment horizontal="right" vertical="center" wrapText="1"/>
    </xf>
    <xf numFmtId="0" fontId="8" fillId="0" borderId="2" xfId="2" applyFont="1" applyFill="1" applyBorder="1" applyAlignment="1">
      <alignment horizontal="right" vertical="center" wrapText="1"/>
    </xf>
    <xf numFmtId="43" fontId="6" fillId="2" borderId="2" xfId="2" applyNumberFormat="1" applyFont="1" applyFill="1" applyBorder="1" applyAlignment="1">
      <alignment horizontal="right" vertical="center" wrapText="1"/>
    </xf>
    <xf numFmtId="0" fontId="6" fillId="2" borderId="2" xfId="2" applyFont="1" applyFill="1" applyBorder="1" applyAlignment="1">
      <alignment horizontal="right" vertical="center" wrapText="1"/>
    </xf>
    <xf numFmtId="43" fontId="6" fillId="2" borderId="0" xfId="2" applyNumberFormat="1" applyFont="1" applyFill="1" applyAlignment="1">
      <alignment horizontal="right" vertical="center" wrapText="1"/>
    </xf>
    <xf numFmtId="0" fontId="8" fillId="0" borderId="2" xfId="2" applyFont="1" applyBorder="1" applyAlignment="1">
      <alignment horizontal="right" vertical="center" wrapText="1"/>
    </xf>
    <xf numFmtId="0" fontId="11" fillId="0" borderId="2" xfId="2" applyFont="1" applyBorder="1" applyAlignment="1">
      <alignment horizontal="right" vertical="center" wrapText="1"/>
    </xf>
    <xf numFmtId="0" fontId="11" fillId="2" borderId="2" xfId="2" applyFont="1" applyFill="1" applyBorder="1" applyAlignment="1">
      <alignment horizontal="right" vertical="center" wrapText="1"/>
    </xf>
    <xf numFmtId="3" fontId="9" fillId="0" borderId="2" xfId="8" applyNumberFormat="1" applyFont="1" applyBorder="1" applyAlignment="1">
      <alignment horizontal="right" vertical="center"/>
    </xf>
    <xf numFmtId="0" fontId="14" fillId="0" borderId="2" xfId="0" applyFont="1" applyBorder="1" applyAlignment="1">
      <alignment horizontal="right" vertical="center" wrapText="1"/>
    </xf>
    <xf numFmtId="0" fontId="14" fillId="2" borderId="2" xfId="0" applyFont="1" applyFill="1" applyBorder="1" applyAlignment="1">
      <alignment horizontal="right" vertical="center" wrapText="1"/>
    </xf>
    <xf numFmtId="165" fontId="9" fillId="0" borderId="2" xfId="3" applyFont="1" applyFill="1" applyBorder="1" applyAlignment="1">
      <alignment horizontal="right" vertical="center"/>
    </xf>
    <xf numFmtId="0" fontId="0" fillId="0" borderId="0" xfId="0" applyAlignment="1">
      <alignment horizontal="right"/>
    </xf>
    <xf numFmtId="0" fontId="7" fillId="4" borderId="2" xfId="0" applyFont="1" applyFill="1" applyBorder="1" applyAlignment="1">
      <alignment horizontal="center" vertical="center" wrapText="1"/>
    </xf>
    <xf numFmtId="4" fontId="9" fillId="4" borderId="2" xfId="7" applyNumberFormat="1" applyFont="1" applyFill="1" applyBorder="1" applyAlignment="1">
      <alignment horizontal="right" vertical="center"/>
    </xf>
    <xf numFmtId="0" fontId="11" fillId="4" borderId="2" xfId="2" applyFont="1" applyFill="1" applyBorder="1" applyAlignment="1">
      <alignment horizontal="center" vertical="center" wrapText="1"/>
    </xf>
    <xf numFmtId="1" fontId="9" fillId="2" borderId="2" xfId="3" applyNumberFormat="1" applyFont="1" applyFill="1" applyBorder="1" applyAlignment="1">
      <alignment horizontal="right" vertical="center" wrapText="1"/>
    </xf>
    <xf numFmtId="1" fontId="9" fillId="2" borderId="2" xfId="7" applyNumberFormat="1" applyFont="1" applyFill="1" applyBorder="1" applyAlignment="1">
      <alignment horizontal="right" vertical="center" wrapText="1"/>
    </xf>
    <xf numFmtId="43" fontId="9" fillId="0" borderId="2" xfId="2" applyNumberFormat="1" applyFont="1" applyBorder="1" applyAlignment="1">
      <alignment horizontal="right" vertical="center" wrapText="1"/>
    </xf>
    <xf numFmtId="0" fontId="2" fillId="0" borderId="0" xfId="0" applyFont="1"/>
    <xf numFmtId="0" fontId="7" fillId="4" borderId="4" xfId="0" applyFont="1" applyFill="1" applyBorder="1" applyAlignment="1">
      <alignment vertical="center" wrapText="1"/>
    </xf>
    <xf numFmtId="43" fontId="3" fillId="4" borderId="0" xfId="0" applyNumberFormat="1" applyFont="1" applyFill="1" applyBorder="1" applyAlignment="1">
      <alignment horizontal="center" vertical="center"/>
    </xf>
    <xf numFmtId="43" fontId="7" fillId="4" borderId="2" xfId="0" applyNumberFormat="1" applyFont="1" applyFill="1" applyBorder="1" applyAlignment="1">
      <alignment horizontal="center" vertical="center" wrapText="1"/>
    </xf>
    <xf numFmtId="1" fontId="12" fillId="4" borderId="10" xfId="0" applyNumberFormat="1"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176" fontId="12" fillId="4" borderId="0" xfId="0" applyNumberFormat="1" applyFont="1" applyFill="1" applyBorder="1" applyAlignment="1">
      <alignment horizontal="center" vertical="center" wrapText="1"/>
    </xf>
    <xf numFmtId="176" fontId="12" fillId="4" borderId="0" xfId="1"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1" fontId="7"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43" fontId="3" fillId="4" borderId="2" xfId="0" applyNumberFormat="1" applyFont="1" applyFill="1" applyBorder="1" applyAlignment="1">
      <alignment horizontal="center" vertical="center" wrapText="1"/>
    </xf>
    <xf numFmtId="43" fontId="3" fillId="4" borderId="2" xfId="0" applyNumberFormat="1" applyFont="1" applyFill="1" applyBorder="1" applyAlignment="1">
      <alignment horizontal="right" vertical="center"/>
    </xf>
    <xf numFmtId="43" fontId="3" fillId="4" borderId="2" xfId="1" applyFont="1" applyFill="1" applyBorder="1" applyAlignment="1">
      <alignment horizontal="right" vertical="center"/>
    </xf>
    <xf numFmtId="176" fontId="3" fillId="4" borderId="2" xfId="1" applyNumberFormat="1" applyFont="1" applyFill="1" applyBorder="1" applyAlignment="1">
      <alignment horizontal="right" vertical="center"/>
    </xf>
    <xf numFmtId="0" fontId="3" fillId="4" borderId="2" xfId="0" applyFont="1" applyFill="1" applyBorder="1" applyAlignment="1">
      <alignment horizontal="center" vertical="center" wrapText="1"/>
    </xf>
    <xf numFmtId="43" fontId="3" fillId="4" borderId="0" xfId="0" applyNumberFormat="1" applyFont="1" applyFill="1" applyBorder="1" applyAlignment="1">
      <alignment vertical="center"/>
    </xf>
    <xf numFmtId="1" fontId="3" fillId="4" borderId="2" xfId="0"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4" fontId="7" fillId="4" borderId="2" xfId="0" applyNumberFormat="1" applyFont="1" applyFill="1" applyBorder="1" applyAlignment="1">
      <alignment horizontal="right" vertical="center"/>
    </xf>
    <xf numFmtId="4" fontId="7" fillId="4" borderId="2" xfId="0" applyNumberFormat="1" applyFont="1" applyFill="1" applyBorder="1" applyAlignment="1">
      <alignment horizontal="right" vertical="center" wrapText="1"/>
    </xf>
    <xf numFmtId="176" fontId="7" fillId="4" borderId="2" xfId="1" applyNumberFormat="1" applyFont="1" applyFill="1" applyBorder="1" applyAlignment="1">
      <alignment horizontal="right" vertical="center" wrapText="1"/>
    </xf>
    <xf numFmtId="43" fontId="7" fillId="4" borderId="2" xfId="1" applyFont="1" applyFill="1" applyBorder="1" applyAlignment="1">
      <alignment horizontal="right" vertical="center" wrapText="1"/>
    </xf>
    <xf numFmtId="175" fontId="3" fillId="4" borderId="2" xfId="0" applyNumberFormat="1" applyFont="1" applyFill="1" applyBorder="1" applyAlignment="1">
      <alignment horizontal="center" vertical="center" wrapText="1"/>
    </xf>
    <xf numFmtId="4" fontId="3" fillId="4" borderId="2" xfId="0" applyNumberFormat="1" applyFont="1" applyFill="1" applyBorder="1" applyAlignment="1">
      <alignment horizontal="right" vertical="center" wrapText="1"/>
    </xf>
    <xf numFmtId="176" fontId="3" fillId="4" borderId="2" xfId="1" applyNumberFormat="1" applyFont="1" applyFill="1" applyBorder="1" applyAlignment="1">
      <alignment horizontal="right" vertical="center" wrapText="1"/>
    </xf>
    <xf numFmtId="43" fontId="3" fillId="4" borderId="2" xfId="1" applyFont="1" applyFill="1" applyBorder="1" applyAlignment="1">
      <alignment horizontal="right" vertical="center" wrapText="1"/>
    </xf>
    <xf numFmtId="4" fontId="7" fillId="4" borderId="2" xfId="0" applyNumberFormat="1" applyFont="1" applyFill="1" applyBorder="1" applyAlignment="1">
      <alignment horizontal="center" vertical="center" wrapText="1"/>
    </xf>
    <xf numFmtId="177" fontId="3"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xf>
    <xf numFmtId="176" fontId="7" fillId="4" borderId="2" xfId="0" applyNumberFormat="1" applyFont="1" applyFill="1" applyBorder="1" applyAlignment="1">
      <alignment horizontal="right" vertical="center" wrapText="1"/>
    </xf>
    <xf numFmtId="43" fontId="7" fillId="4" borderId="0" xfId="0" applyNumberFormat="1" applyFont="1" applyFill="1" applyBorder="1" applyAlignment="1">
      <alignment vertical="center"/>
    </xf>
    <xf numFmtId="0" fontId="3" fillId="4" borderId="2" xfId="0" applyFont="1" applyFill="1" applyBorder="1" applyAlignment="1">
      <alignment horizontal="center" vertical="center"/>
    </xf>
    <xf numFmtId="0" fontId="3" fillId="4" borderId="2" xfId="0" quotePrefix="1" applyFont="1" applyFill="1" applyBorder="1" applyAlignment="1">
      <alignment vertical="center" wrapText="1"/>
    </xf>
    <xf numFmtId="43" fontId="20" fillId="5" borderId="2" xfId="1" applyFont="1" applyFill="1" applyBorder="1" applyAlignment="1">
      <alignment horizontal="right" vertical="center" wrapText="1"/>
    </xf>
    <xf numFmtId="176" fontId="3" fillId="4" borderId="2" xfId="0" applyNumberFormat="1" applyFont="1" applyFill="1" applyBorder="1" applyAlignment="1">
      <alignment horizontal="right" vertical="center" wrapText="1"/>
    </xf>
    <xf numFmtId="4" fontId="3" fillId="4" borderId="2" xfId="0" applyNumberFormat="1" applyFont="1" applyFill="1" applyBorder="1" applyAlignment="1">
      <alignment horizontal="right" vertical="center"/>
    </xf>
    <xf numFmtId="176" fontId="3" fillId="4" borderId="2" xfId="0" applyNumberFormat="1" applyFont="1" applyFill="1" applyBorder="1" applyAlignment="1">
      <alignment horizontal="right" vertical="center"/>
    </xf>
    <xf numFmtId="4" fontId="3" fillId="4" borderId="2" xfId="0" applyNumberFormat="1" applyFont="1" applyFill="1" applyBorder="1" applyAlignment="1">
      <alignment horizontal="center" vertical="center" wrapText="1"/>
    </xf>
    <xf numFmtId="0" fontId="3" fillId="4" borderId="2" xfId="0" quotePrefix="1" applyFont="1" applyFill="1" applyBorder="1" applyAlignment="1">
      <alignment horizontal="center" vertical="center"/>
    </xf>
    <xf numFmtId="0" fontId="3" fillId="4" borderId="2" xfId="0" applyFont="1" applyFill="1" applyBorder="1" applyAlignment="1">
      <alignment vertical="center" wrapText="1"/>
    </xf>
    <xf numFmtId="43" fontId="21" fillId="5" borderId="0" xfId="2" applyNumberFormat="1" applyFont="1" applyFill="1" applyAlignment="1">
      <alignment vertical="center" wrapText="1"/>
    </xf>
    <xf numFmtId="169" fontId="3" fillId="4" borderId="2" xfId="0" applyNumberFormat="1" applyFont="1" applyFill="1" applyBorder="1" applyAlignment="1">
      <alignment horizontal="center" vertical="center" wrapText="1"/>
    </xf>
    <xf numFmtId="169" fontId="3" fillId="4" borderId="2" xfId="0" applyNumberFormat="1" applyFont="1" applyFill="1" applyBorder="1" applyAlignment="1">
      <alignment horizontal="left" vertical="center" wrapText="1"/>
    </xf>
    <xf numFmtId="169" fontId="3" fillId="4" borderId="2" xfId="0" applyNumberFormat="1" applyFont="1" applyFill="1" applyBorder="1" applyAlignment="1">
      <alignment horizontal="center" vertical="center"/>
    </xf>
    <xf numFmtId="0" fontId="3" fillId="4" borderId="2" xfId="0" quotePrefix="1" applyFont="1" applyFill="1" applyBorder="1" applyAlignment="1">
      <alignment horizontal="left" vertical="center" wrapText="1"/>
    </xf>
    <xf numFmtId="0" fontId="3" fillId="4" borderId="2" xfId="0" quotePrefix="1" applyFont="1" applyFill="1" applyBorder="1" applyAlignment="1">
      <alignment horizontal="center" vertical="center" wrapText="1"/>
    </xf>
    <xf numFmtId="43" fontId="7" fillId="4" borderId="2" xfId="0" applyNumberFormat="1" applyFont="1" applyFill="1" applyBorder="1" applyAlignment="1">
      <alignment horizontal="right" vertical="center"/>
    </xf>
    <xf numFmtId="176" fontId="7" fillId="4" borderId="2" xfId="0" applyNumberFormat="1" applyFont="1" applyFill="1" applyBorder="1" applyAlignment="1">
      <alignment horizontal="right" vertical="center"/>
    </xf>
    <xf numFmtId="176" fontId="7" fillId="4" borderId="2" xfId="1" applyNumberFormat="1" applyFont="1" applyFill="1" applyBorder="1" applyAlignment="1">
      <alignment horizontal="right" vertical="center"/>
    </xf>
    <xf numFmtId="43" fontId="7" fillId="4" borderId="2" xfId="1" applyFont="1" applyFill="1" applyBorder="1" applyAlignment="1">
      <alignment horizontal="center" vertical="center" wrapText="1"/>
    </xf>
    <xf numFmtId="0" fontId="3" fillId="4" borderId="2" xfId="0" quotePrefix="1" applyFont="1" applyFill="1" applyBorder="1" applyAlignment="1">
      <alignment horizontal="left" vertical="center"/>
    </xf>
    <xf numFmtId="0" fontId="3" fillId="4" borderId="2" xfId="15" applyFont="1" applyFill="1" applyBorder="1" applyAlignment="1">
      <alignment horizontal="center" vertical="center" wrapText="1"/>
    </xf>
    <xf numFmtId="43" fontId="9" fillId="4" borderId="2" xfId="1" applyFont="1" applyFill="1" applyBorder="1" applyAlignment="1">
      <alignment horizontal="right" vertical="center" wrapText="1"/>
    </xf>
    <xf numFmtId="43" fontId="22" fillId="5" borderId="2" xfId="1" applyFont="1" applyFill="1" applyBorder="1" applyAlignment="1">
      <alignment horizontal="right" vertical="center" wrapText="1"/>
    </xf>
    <xf numFmtId="49" fontId="7" fillId="4" borderId="2" xfId="0" applyNumberFormat="1" applyFont="1" applyFill="1" applyBorder="1" applyAlignment="1">
      <alignment horizontal="left" vertical="center" wrapText="1"/>
    </xf>
    <xf numFmtId="43" fontId="8" fillId="4" borderId="2" xfId="1" applyFont="1" applyFill="1" applyBorder="1" applyAlignment="1">
      <alignment horizontal="right" vertical="center" wrapText="1"/>
    </xf>
    <xf numFmtId="0" fontId="23" fillId="4" borderId="2" xfId="0" quotePrefix="1" applyFont="1" applyFill="1" applyBorder="1" applyAlignment="1">
      <alignment horizontal="center" vertical="center"/>
    </xf>
    <xf numFmtId="49" fontId="23" fillId="4" borderId="2" xfId="0" applyNumberFormat="1" applyFont="1" applyFill="1" applyBorder="1" applyAlignment="1">
      <alignment horizontal="left" vertical="center" wrapText="1"/>
    </xf>
    <xf numFmtId="0" fontId="23" fillId="4" borderId="2" xfId="0" applyFont="1" applyFill="1" applyBorder="1" applyAlignment="1">
      <alignment horizontal="center" vertical="center"/>
    </xf>
    <xf numFmtId="4" fontId="23" fillId="4" borderId="2" xfId="0" applyNumberFormat="1" applyFont="1" applyFill="1" applyBorder="1" applyAlignment="1">
      <alignment horizontal="right" vertical="center"/>
    </xf>
    <xf numFmtId="43" fontId="24" fillId="4" borderId="2" xfId="1" applyFont="1" applyFill="1" applyBorder="1" applyAlignment="1">
      <alignment horizontal="right" vertical="center" wrapText="1"/>
    </xf>
    <xf numFmtId="176" fontId="23" fillId="4" borderId="2" xfId="0" applyNumberFormat="1" applyFont="1" applyFill="1" applyBorder="1" applyAlignment="1">
      <alignment horizontal="right" vertical="center"/>
    </xf>
    <xf numFmtId="0" fontId="23" fillId="4" borderId="2" xfId="0" applyFont="1" applyFill="1" applyBorder="1" applyAlignment="1">
      <alignment horizontal="center" vertical="center" wrapText="1"/>
    </xf>
    <xf numFmtId="43" fontId="23" fillId="4" borderId="0" xfId="0" applyNumberFormat="1" applyFont="1" applyFill="1" applyBorder="1" applyAlignment="1">
      <alignment vertical="center"/>
    </xf>
    <xf numFmtId="176" fontId="23" fillId="4" borderId="2" xfId="1" applyNumberFormat="1" applyFont="1" applyFill="1" applyBorder="1" applyAlignment="1">
      <alignment horizontal="right" vertical="center"/>
    </xf>
    <xf numFmtId="0" fontId="25" fillId="4" borderId="2" xfId="0" applyFont="1" applyFill="1" applyBorder="1" applyAlignment="1">
      <alignment vertical="center"/>
    </xf>
    <xf numFmtId="176" fontId="23" fillId="4" borderId="2" xfId="1" applyNumberFormat="1" applyFont="1" applyFill="1" applyBorder="1" applyAlignment="1">
      <alignment vertical="center"/>
    </xf>
    <xf numFmtId="0" fontId="25" fillId="4" borderId="2" xfId="0" applyFont="1" applyFill="1" applyBorder="1" applyAlignment="1">
      <alignment vertical="center" wrapText="1"/>
    </xf>
    <xf numFmtId="172" fontId="3" fillId="4" borderId="2" xfId="0" applyNumberFormat="1" applyFont="1" applyFill="1" applyBorder="1" applyAlignment="1">
      <alignment horizontal="center" vertical="center" wrapText="1"/>
    </xf>
    <xf numFmtId="172" fontId="23" fillId="4" borderId="2" xfId="0" applyNumberFormat="1" applyFont="1" applyFill="1" applyBorder="1" applyAlignment="1">
      <alignment horizontal="center" vertical="center" wrapText="1"/>
    </xf>
    <xf numFmtId="43" fontId="23" fillId="4" borderId="2" xfId="0" applyNumberFormat="1" applyFont="1" applyFill="1" applyBorder="1" applyAlignment="1">
      <alignment horizontal="right" vertical="center"/>
    </xf>
    <xf numFmtId="0" fontId="3" fillId="3" borderId="2" xfId="0" quotePrefix="1" applyFont="1" applyFill="1" applyBorder="1" applyAlignment="1">
      <alignment vertical="center" wrapText="1"/>
    </xf>
    <xf numFmtId="0" fontId="7" fillId="0" borderId="2" xfId="0"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0" fontId="9" fillId="0" borderId="2" xfId="2" applyFont="1" applyFill="1" applyBorder="1" applyAlignment="1">
      <alignment horizontal="center" vertical="center" wrapText="1"/>
    </xf>
    <xf numFmtId="43" fontId="8" fillId="0" borderId="2" xfId="3" applyNumberFormat="1" applyFont="1" applyFill="1" applyBorder="1" applyAlignment="1">
      <alignment horizontal="right" vertical="center" wrapText="1"/>
    </xf>
    <xf numFmtId="167" fontId="11" fillId="0" borderId="2" xfId="2" applyNumberFormat="1" applyFont="1" applyFill="1" applyBorder="1" applyAlignment="1">
      <alignment horizontal="right" vertical="center"/>
    </xf>
    <xf numFmtId="0" fontId="6" fillId="0" borderId="2" xfId="2" applyFont="1" applyFill="1" applyBorder="1" applyAlignment="1">
      <alignment horizontal="center" vertical="center" wrapText="1"/>
    </xf>
    <xf numFmtId="166" fontId="11" fillId="0" borderId="2" xfId="3" applyNumberFormat="1" applyFont="1" applyFill="1" applyBorder="1" applyAlignment="1">
      <alignment horizontal="right" vertical="center" wrapText="1"/>
    </xf>
    <xf numFmtId="4" fontId="11" fillId="0" borderId="0" xfId="2" applyNumberFormat="1" applyFont="1" applyFill="1" applyAlignment="1">
      <alignment vertical="center" wrapText="1"/>
    </xf>
    <xf numFmtId="43" fontId="9" fillId="0" borderId="2" xfId="2" applyNumberFormat="1" applyFont="1" applyFill="1" applyBorder="1" applyAlignment="1">
      <alignment horizontal="right" vertical="center" wrapText="1"/>
    </xf>
    <xf numFmtId="43" fontId="6" fillId="0" borderId="0" xfId="2" applyNumberFormat="1" applyFont="1" applyFill="1" applyAlignment="1">
      <alignment vertical="center" wrapText="1"/>
    </xf>
    <xf numFmtId="165" fontId="6" fillId="0" borderId="2" xfId="3" applyFont="1" applyFill="1" applyBorder="1" applyAlignment="1">
      <alignment horizontal="right" vertical="center" wrapText="1"/>
    </xf>
    <xf numFmtId="4" fontId="9" fillId="0" borderId="2" xfId="7" applyNumberFormat="1" applyFont="1" applyFill="1" applyBorder="1" applyAlignment="1">
      <alignment horizontal="right" vertical="center"/>
    </xf>
    <xf numFmtId="1" fontId="9" fillId="0" borderId="2" xfId="2" applyNumberFormat="1" applyFont="1" applyFill="1" applyBorder="1" applyAlignment="1">
      <alignment horizontal="right" vertical="center" wrapText="1"/>
    </xf>
    <xf numFmtId="166" fontId="9" fillId="0" borderId="2" xfId="7" applyNumberFormat="1" applyFont="1" applyFill="1" applyBorder="1" applyAlignment="1">
      <alignment horizontal="right" vertical="center"/>
    </xf>
    <xf numFmtId="1" fontId="9" fillId="0" borderId="2" xfId="3" applyNumberFormat="1" applyFont="1" applyFill="1" applyBorder="1" applyAlignment="1">
      <alignment horizontal="right" vertical="center" wrapText="1"/>
    </xf>
    <xf numFmtId="3" fontId="8" fillId="0" borderId="2" xfId="0" applyNumberFormat="1" applyFont="1" applyFill="1" applyBorder="1" applyAlignment="1">
      <alignment horizontal="right" vertical="center"/>
    </xf>
    <xf numFmtId="165" fontId="8" fillId="0" borderId="2" xfId="3" applyFont="1" applyFill="1" applyBorder="1" applyAlignment="1">
      <alignment horizontal="center" vertical="center"/>
    </xf>
    <xf numFmtId="165" fontId="8" fillId="0" borderId="2" xfId="3" applyFont="1" applyFill="1" applyBorder="1" applyAlignment="1">
      <alignment horizontal="right" vertical="center"/>
    </xf>
    <xf numFmtId="0" fontId="11" fillId="0" borderId="2" xfId="2" applyFont="1" applyFill="1" applyBorder="1" applyAlignment="1">
      <alignment horizontal="center" vertical="center" wrapText="1"/>
    </xf>
    <xf numFmtId="43" fontId="9" fillId="0" borderId="2" xfId="0" applyNumberFormat="1" applyFont="1" applyFill="1" applyBorder="1" applyAlignment="1">
      <alignment horizontal="right" vertical="center" wrapText="1"/>
    </xf>
    <xf numFmtId="3" fontId="9" fillId="0" borderId="2" xfId="8" applyNumberFormat="1" applyFont="1" applyFill="1" applyBorder="1" applyAlignment="1">
      <alignment horizontal="center" vertical="center"/>
    </xf>
    <xf numFmtId="166" fontId="9" fillId="0" borderId="3" xfId="3" applyNumberFormat="1" applyFont="1" applyFill="1" applyBorder="1" applyAlignment="1">
      <alignment horizontal="right" vertical="center" wrapText="1"/>
    </xf>
    <xf numFmtId="166" fontId="9" fillId="0" borderId="2" xfId="8" applyNumberFormat="1" applyFont="1" applyFill="1" applyBorder="1" applyAlignment="1">
      <alignment horizontal="right" vertical="center"/>
    </xf>
    <xf numFmtId="166" fontId="9" fillId="0" borderId="3" xfId="8" applyNumberFormat="1" applyFont="1" applyFill="1" applyBorder="1" applyAlignment="1">
      <alignment horizontal="right" vertical="center"/>
    </xf>
    <xf numFmtId="3" fontId="9" fillId="0" borderId="2" xfId="0" applyNumberFormat="1" applyFont="1" applyFill="1" applyBorder="1" applyAlignment="1">
      <alignment horizontal="right" vertical="center"/>
    </xf>
    <xf numFmtId="165" fontId="9" fillId="0" borderId="2" xfId="3" applyFont="1" applyFill="1" applyBorder="1" applyAlignment="1">
      <alignment vertical="center" wrapText="1"/>
    </xf>
    <xf numFmtId="2" fontId="9" fillId="0" borderId="2" xfId="2" applyNumberFormat="1" applyFont="1" applyFill="1" applyBorder="1" applyAlignment="1">
      <alignment horizontal="right" vertical="center"/>
    </xf>
    <xf numFmtId="0" fontId="14" fillId="0" borderId="2" xfId="0" applyFont="1" applyFill="1" applyBorder="1" applyAlignment="1">
      <alignment horizontal="center" vertical="center" wrapText="1"/>
    </xf>
    <xf numFmtId="0" fontId="0" fillId="0" borderId="0" xfId="0" applyFill="1"/>
    <xf numFmtId="4" fontId="9" fillId="0" borderId="2" xfId="3" applyNumberFormat="1" applyFont="1" applyFill="1" applyBorder="1" applyAlignment="1">
      <alignment horizontal="right" vertical="center"/>
    </xf>
    <xf numFmtId="167" fontId="9" fillId="0" borderId="2" xfId="3" applyNumberFormat="1" applyFont="1" applyFill="1" applyBorder="1" applyAlignment="1">
      <alignment horizontal="right" vertical="center"/>
    </xf>
    <xf numFmtId="4" fontId="14" fillId="0" borderId="2" xfId="0" applyNumberFormat="1" applyFont="1" applyFill="1" applyBorder="1" applyAlignment="1">
      <alignment horizontal="center" vertical="center" wrapText="1"/>
    </xf>
    <xf numFmtId="0" fontId="3" fillId="0" borderId="2" xfId="8" applyFont="1" applyFill="1" applyBorder="1" applyAlignment="1">
      <alignment horizontal="center" vertical="center"/>
    </xf>
    <xf numFmtId="49" fontId="3" fillId="0" borderId="2" xfId="8" applyNumberFormat="1" applyFont="1" applyFill="1" applyBorder="1" applyAlignment="1">
      <alignment horizontal="justify" vertical="center" wrapText="1"/>
    </xf>
    <xf numFmtId="0" fontId="9" fillId="0" borderId="2" xfId="8" applyFont="1" applyFill="1" applyBorder="1" applyAlignment="1">
      <alignment horizontal="center" vertical="center"/>
    </xf>
    <xf numFmtId="0" fontId="12" fillId="0" borderId="2" xfId="8" applyFont="1" applyFill="1" applyBorder="1" applyAlignment="1">
      <alignment horizontal="center" vertical="center"/>
    </xf>
    <xf numFmtId="49" fontId="12" fillId="0" borderId="2" xfId="8" applyNumberFormat="1" applyFont="1" applyFill="1" applyBorder="1" applyAlignment="1">
      <alignment horizontal="justify" vertical="center" wrapText="1"/>
    </xf>
    <xf numFmtId="49" fontId="3" fillId="0" borderId="2" xfId="8" quotePrefix="1" applyNumberFormat="1" applyFont="1" applyFill="1" applyBorder="1" applyAlignment="1">
      <alignment horizontal="justify" vertical="center" wrapText="1"/>
    </xf>
    <xf numFmtId="166" fontId="9" fillId="0" borderId="2" xfId="3" applyNumberFormat="1" applyFont="1" applyFill="1" applyBorder="1" applyAlignment="1">
      <alignment horizontal="center" vertical="center" wrapText="1"/>
    </xf>
    <xf numFmtId="166" fontId="9" fillId="0" borderId="2" xfId="3" applyNumberFormat="1" applyFont="1" applyFill="1" applyBorder="1" applyAlignment="1">
      <alignment vertical="center" wrapText="1"/>
    </xf>
    <xf numFmtId="1" fontId="9" fillId="0" borderId="2" xfId="7" applyNumberFormat="1" applyFont="1" applyFill="1" applyBorder="1"/>
    <xf numFmtId="1" fontId="0" fillId="0" borderId="2" xfId="0" applyNumberFormat="1" applyFill="1" applyBorder="1"/>
    <xf numFmtId="4" fontId="9" fillId="0" borderId="2" xfId="8" applyNumberFormat="1" applyFont="1" applyFill="1" applyBorder="1" applyAlignment="1">
      <alignment horizontal="center" vertical="center"/>
    </xf>
    <xf numFmtId="167" fontId="9" fillId="0" borderId="2" xfId="8" applyNumberFormat="1" applyFont="1" applyFill="1" applyBorder="1" applyAlignment="1">
      <alignment horizontal="center" vertical="center"/>
    </xf>
    <xf numFmtId="166" fontId="9" fillId="2" borderId="3" xfId="8" applyNumberFormat="1" applyFont="1" applyFill="1" applyBorder="1" applyAlignment="1">
      <alignment horizontal="right" vertical="center"/>
    </xf>
    <xf numFmtId="1" fontId="8" fillId="0" borderId="2" xfId="1" applyNumberFormat="1" applyFont="1" applyFill="1" applyBorder="1" applyAlignment="1">
      <alignment horizontal="center" vertical="center" wrapText="1"/>
    </xf>
    <xf numFmtId="43" fontId="8" fillId="0" borderId="2" xfId="1" applyFont="1" applyFill="1" applyBorder="1" applyAlignment="1">
      <alignment horizontal="center" vertical="center" wrapText="1"/>
    </xf>
    <xf numFmtId="43" fontId="13" fillId="0" borderId="0" xfId="0" applyNumberFormat="1" applyFont="1" applyFill="1"/>
    <xf numFmtId="4" fontId="9" fillId="0" borderId="2" xfId="0" applyNumberFormat="1" applyFont="1" applyFill="1" applyBorder="1" applyAlignment="1">
      <alignment horizontal="right" vertical="center" wrapText="1"/>
    </xf>
    <xf numFmtId="165" fontId="11" fillId="0" borderId="2" xfId="3" applyFont="1" applyFill="1" applyBorder="1" applyAlignment="1">
      <alignment horizontal="right" vertical="center" wrapText="1"/>
    </xf>
    <xf numFmtId="43" fontId="9" fillId="0" borderId="0" xfId="2" applyNumberFormat="1" applyFont="1" applyFill="1" applyAlignment="1">
      <alignment vertical="center" wrapText="1"/>
    </xf>
    <xf numFmtId="43" fontId="9" fillId="0" borderId="2" xfId="1" applyFont="1" applyFill="1" applyBorder="1" applyAlignment="1">
      <alignment horizontal="right" vertical="center"/>
    </xf>
    <xf numFmtId="166" fontId="9" fillId="0" borderId="2" xfId="0" applyNumberFormat="1" applyFont="1" applyFill="1" applyBorder="1" applyAlignment="1">
      <alignment horizontal="right" vertical="center"/>
    </xf>
    <xf numFmtId="174" fontId="9" fillId="0" borderId="2" xfId="2" applyNumberFormat="1" applyFont="1" applyFill="1" applyBorder="1" applyAlignment="1">
      <alignment horizontal="right" wrapText="1"/>
    </xf>
    <xf numFmtId="4" fontId="9" fillId="0" borderId="2" xfId="0" applyNumberFormat="1" applyFont="1" applyFill="1" applyBorder="1" applyAlignment="1">
      <alignment horizontal="right" vertical="center"/>
    </xf>
    <xf numFmtId="0" fontId="9" fillId="0" borderId="2" xfId="0" applyFont="1" applyFill="1" applyBorder="1" applyAlignment="1">
      <alignment vertical="center"/>
    </xf>
    <xf numFmtId="165" fontId="9" fillId="0" borderId="2" xfId="3" applyFont="1" applyFill="1" applyBorder="1" applyAlignment="1">
      <alignment horizontal="center" vertical="center"/>
    </xf>
    <xf numFmtId="165" fontId="9" fillId="2" borderId="2" xfId="3" applyFont="1" applyFill="1" applyBorder="1" applyAlignment="1">
      <alignment horizontal="center" vertical="center" wrapText="1"/>
    </xf>
    <xf numFmtId="43" fontId="9" fillId="0" borderId="2" xfId="0" applyNumberFormat="1" applyFont="1" applyFill="1" applyBorder="1" applyAlignment="1">
      <alignment horizontal="center" vertical="center" wrapText="1"/>
    </xf>
    <xf numFmtId="43" fontId="9" fillId="2" borderId="2" xfId="0" applyNumberFormat="1" applyFont="1" applyFill="1" applyBorder="1" applyAlignment="1">
      <alignment horizontal="center" vertical="center" wrapText="1"/>
    </xf>
    <xf numFmtId="165" fontId="14" fillId="0" borderId="2" xfId="3" applyFont="1" applyFill="1" applyBorder="1" applyAlignment="1">
      <alignment horizontal="center" vertical="center"/>
    </xf>
    <xf numFmtId="165" fontId="14" fillId="2" borderId="2" xfId="3" applyFont="1" applyFill="1" applyBorder="1" applyAlignment="1">
      <alignment horizontal="right" vertical="center"/>
    </xf>
    <xf numFmtId="166" fontId="14" fillId="2" borderId="2" xfId="3" applyNumberFormat="1" applyFont="1" applyFill="1" applyBorder="1" applyAlignment="1">
      <alignment horizontal="right" vertical="center"/>
    </xf>
    <xf numFmtId="166" fontId="14" fillId="0" borderId="2" xfId="3" applyNumberFormat="1" applyFont="1" applyFill="1" applyBorder="1" applyAlignment="1">
      <alignment horizontal="center" vertical="center"/>
    </xf>
    <xf numFmtId="170" fontId="7" fillId="0" borderId="2" xfId="4" applyNumberFormat="1" applyFont="1" applyBorder="1" applyAlignment="1">
      <alignment horizontal="center" vertical="center" wrapText="1"/>
    </xf>
    <xf numFmtId="3" fontId="9" fillId="2" borderId="2" xfId="0" applyNumberFormat="1" applyFont="1" applyFill="1" applyBorder="1" applyAlignment="1">
      <alignment horizontal="center" vertical="center" wrapText="1"/>
    </xf>
    <xf numFmtId="4" fontId="9" fillId="2" borderId="7" xfId="0" applyNumberFormat="1" applyFont="1" applyFill="1" applyBorder="1" applyAlignment="1">
      <alignment horizontal="center" vertical="center" wrapText="1"/>
    </xf>
    <xf numFmtId="3" fontId="23" fillId="4" borderId="2" xfId="1" applyNumberFormat="1" applyFont="1" applyFill="1" applyBorder="1" applyAlignment="1">
      <alignment horizontal="right" vertical="center"/>
    </xf>
    <xf numFmtId="176" fontId="0" fillId="0" borderId="0" xfId="0" applyNumberFormat="1"/>
    <xf numFmtId="41" fontId="24" fillId="4" borderId="2" xfId="1" applyNumberFormat="1" applyFont="1" applyFill="1" applyBorder="1" applyAlignment="1">
      <alignment horizontal="right" vertical="center" wrapText="1"/>
    </xf>
    <xf numFmtId="41" fontId="0" fillId="0" borderId="0" xfId="0" applyNumberFormat="1"/>
    <xf numFmtId="3" fontId="9" fillId="0" borderId="2" xfId="3" applyNumberFormat="1" applyFont="1" applyFill="1" applyBorder="1" applyAlignment="1">
      <alignment horizontal="right" vertical="center" wrapText="1"/>
    </xf>
    <xf numFmtId="0" fontId="12" fillId="0" borderId="2" xfId="8" quotePrefix="1" applyFont="1" applyFill="1" applyBorder="1" applyAlignment="1">
      <alignment horizontal="center" vertical="center"/>
    </xf>
    <xf numFmtId="1" fontId="9" fillId="0" borderId="2" xfId="8" applyNumberFormat="1" applyFont="1" applyFill="1" applyBorder="1" applyAlignment="1">
      <alignment horizontal="center" vertical="center"/>
    </xf>
    <xf numFmtId="4" fontId="9" fillId="0" borderId="7"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2" fontId="9" fillId="0" borderId="2" xfId="3" applyNumberFormat="1" applyFont="1" applyFill="1" applyBorder="1" applyAlignment="1">
      <alignment horizontal="right" vertical="center" wrapText="1"/>
    </xf>
    <xf numFmtId="49" fontId="12" fillId="2" borderId="2" xfId="8" quotePrefix="1" applyNumberFormat="1" applyFont="1" applyFill="1" applyBorder="1" applyAlignment="1">
      <alignment horizontal="justify" vertical="center" wrapText="1"/>
    </xf>
    <xf numFmtId="0" fontId="26" fillId="2" borderId="0" xfId="2" applyFont="1" applyFill="1" applyAlignment="1">
      <alignment horizontal="center" vertical="center" wrapText="1"/>
    </xf>
    <xf numFmtId="0" fontId="27" fillId="2" borderId="0" xfId="0" applyFont="1" applyFill="1"/>
    <xf numFmtId="0" fontId="27" fillId="2" borderId="0" xfId="2" applyFont="1" applyFill="1" applyAlignment="1">
      <alignment vertical="center"/>
    </xf>
    <xf numFmtId="0" fontId="28" fillId="2" borderId="0" xfId="2" applyFont="1" applyFill="1" applyAlignment="1">
      <alignment vertical="center"/>
    </xf>
    <xf numFmtId="0" fontId="29" fillId="2" borderId="0" xfId="2" applyFont="1" applyFill="1" applyAlignment="1">
      <alignment vertical="center"/>
    </xf>
    <xf numFmtId="0" fontId="30" fillId="0" borderId="0" xfId="0" applyFont="1"/>
    <xf numFmtId="0" fontId="31" fillId="2" borderId="0" xfId="2" applyFont="1" applyFill="1" applyBorder="1" applyAlignment="1">
      <alignment horizontal="center" vertical="center"/>
    </xf>
    <xf numFmtId="0" fontId="32" fillId="2" borderId="0" xfId="2" applyFont="1" applyFill="1" applyBorder="1" applyAlignment="1">
      <alignment horizontal="center" vertical="center" wrapText="1"/>
    </xf>
    <xf numFmtId="0" fontId="33" fillId="2" borderId="0" xfId="2" applyFont="1" applyFill="1" applyAlignment="1">
      <alignment vertical="center" wrapText="1"/>
    </xf>
    <xf numFmtId="0" fontId="34" fillId="2" borderId="0" xfId="2" applyFont="1" applyFill="1" applyAlignment="1">
      <alignment vertical="center" wrapText="1"/>
    </xf>
    <xf numFmtId="0" fontId="29" fillId="2" borderId="0" xfId="2" applyFont="1" applyFill="1" applyAlignment="1">
      <alignment vertical="center" wrapText="1"/>
    </xf>
    <xf numFmtId="1" fontId="35" fillId="2" borderId="0" xfId="0" applyNumberFormat="1" applyFont="1" applyFill="1" applyBorder="1" applyAlignment="1">
      <alignment horizontal="center" vertical="center" wrapText="1"/>
    </xf>
    <xf numFmtId="0" fontId="36" fillId="2" borderId="0" xfId="2" applyFont="1" applyFill="1" applyAlignment="1">
      <alignment vertical="center" wrapText="1"/>
    </xf>
    <xf numFmtId="0" fontId="37" fillId="2" borderId="0" xfId="2" applyFont="1" applyFill="1" applyAlignment="1">
      <alignment vertical="center" wrapText="1"/>
    </xf>
    <xf numFmtId="164" fontId="37" fillId="2" borderId="0" xfId="2" applyNumberFormat="1" applyFont="1" applyFill="1" applyAlignment="1">
      <alignment vertical="center" wrapText="1"/>
    </xf>
    <xf numFmtId="0" fontId="38" fillId="2" borderId="0" xfId="2" applyFont="1" applyFill="1" applyAlignment="1">
      <alignment vertical="center" wrapText="1"/>
    </xf>
    <xf numFmtId="0" fontId="32" fillId="0" borderId="0" xfId="2" applyFont="1" applyBorder="1" applyAlignment="1">
      <alignment horizontal="left" vertical="center" wrapText="1"/>
    </xf>
    <xf numFmtId="0" fontId="32" fillId="2" borderId="0" xfId="2" applyFont="1" applyFill="1" applyAlignment="1">
      <alignment horizontal="center" vertical="center" wrapText="1"/>
    </xf>
    <xf numFmtId="0" fontId="39" fillId="2" borderId="0" xfId="2" applyFont="1" applyFill="1" applyAlignment="1">
      <alignment horizontal="center" vertical="center" wrapText="1"/>
    </xf>
    <xf numFmtId="0" fontId="40" fillId="2" borderId="0" xfId="2" applyFont="1" applyFill="1" applyAlignment="1">
      <alignment horizontal="center" vertical="center" wrapText="1"/>
    </xf>
    <xf numFmtId="0" fontId="35" fillId="2" borderId="0" xfId="2" applyFont="1" applyFill="1" applyBorder="1" applyAlignment="1">
      <alignment horizontal="center" vertical="center" wrapText="1"/>
    </xf>
    <xf numFmtId="0" fontId="41" fillId="0" borderId="0" xfId="2" applyFont="1" applyFill="1" applyBorder="1" applyAlignment="1">
      <alignment vertical="center"/>
    </xf>
    <xf numFmtId="0" fontId="36" fillId="0" borderId="0" xfId="2" applyFont="1" applyFill="1" applyAlignment="1">
      <alignment vertical="center"/>
    </xf>
    <xf numFmtId="43" fontId="36" fillId="0" borderId="0" xfId="1" applyFont="1" applyFill="1" applyAlignment="1">
      <alignment vertical="center"/>
    </xf>
    <xf numFmtId="0" fontId="37" fillId="0" borderId="0" xfId="2" applyFont="1" applyFill="1" applyAlignment="1">
      <alignment vertical="center"/>
    </xf>
    <xf numFmtId="43" fontId="37" fillId="0" borderId="0" xfId="2" applyNumberFormat="1" applyFont="1" applyFill="1" applyAlignment="1">
      <alignment vertical="center"/>
    </xf>
    <xf numFmtId="164" fontId="37" fillId="0" borderId="0" xfId="2" applyNumberFormat="1" applyFont="1" applyFill="1" applyAlignment="1">
      <alignment vertical="center"/>
    </xf>
    <xf numFmtId="10" fontId="37" fillId="0" borderId="0" xfId="2" applyNumberFormat="1" applyFont="1" applyFill="1" applyAlignment="1">
      <alignment vertical="center"/>
    </xf>
    <xf numFmtId="0" fontId="38" fillId="0" borderId="0" xfId="2" applyFont="1" applyFill="1" applyAlignment="1">
      <alignment vertical="center"/>
    </xf>
    <xf numFmtId="0" fontId="42" fillId="0" borderId="0" xfId="0" applyFont="1"/>
    <xf numFmtId="0" fontId="31" fillId="0" borderId="0" xfId="2" applyFont="1" applyFill="1" applyBorder="1" applyAlignment="1">
      <alignment vertical="center"/>
    </xf>
    <xf numFmtId="0" fontId="43" fillId="0" borderId="0" xfId="2" applyFont="1" applyFill="1" applyAlignment="1">
      <alignment vertical="center"/>
    </xf>
    <xf numFmtId="43" fontId="43" fillId="0" borderId="0" xfId="1" applyFont="1" applyFill="1" applyAlignment="1">
      <alignment vertical="center"/>
    </xf>
    <xf numFmtId="0" fontId="44" fillId="0" borderId="0" xfId="2" applyFont="1" applyFill="1" applyAlignment="1">
      <alignment vertical="center"/>
    </xf>
    <xf numFmtId="43" fontId="44" fillId="0" borderId="0" xfId="2" applyNumberFormat="1" applyFont="1" applyFill="1" applyAlignment="1">
      <alignment vertical="center"/>
    </xf>
    <xf numFmtId="0" fontId="45" fillId="0" borderId="0" xfId="2" applyFont="1" applyFill="1" applyAlignment="1">
      <alignment vertical="center"/>
    </xf>
    <xf numFmtId="164" fontId="44" fillId="0" borderId="0" xfId="2" applyNumberFormat="1" applyFont="1" applyFill="1" applyAlignment="1">
      <alignment vertical="center"/>
    </xf>
    <xf numFmtId="0" fontId="46" fillId="0" borderId="0" xfId="2" applyFont="1" applyFill="1" applyBorder="1" applyAlignment="1">
      <alignment vertical="center"/>
    </xf>
    <xf numFmtId="0" fontId="33" fillId="0" borderId="0" xfId="2" applyFont="1" applyFill="1" applyAlignment="1">
      <alignment vertical="center"/>
    </xf>
    <xf numFmtId="0" fontId="34" fillId="0" borderId="0" xfId="2" applyFont="1" applyFill="1" applyAlignment="1">
      <alignment vertical="center"/>
    </xf>
    <xf numFmtId="0" fontId="29" fillId="0" borderId="0" xfId="2" applyFont="1" applyFill="1" applyAlignment="1">
      <alignment vertical="center"/>
    </xf>
    <xf numFmtId="0" fontId="46" fillId="2" borderId="0" xfId="2" applyFont="1" applyFill="1" applyBorder="1" applyAlignment="1">
      <alignment vertical="center"/>
    </xf>
    <xf numFmtId="0" fontId="33" fillId="2" borderId="0" xfId="2" applyFont="1" applyFill="1" applyAlignment="1">
      <alignment vertical="center"/>
    </xf>
    <xf numFmtId="0" fontId="34" fillId="2" borderId="0" xfId="2" applyFont="1" applyFill="1" applyAlignment="1">
      <alignment vertical="center"/>
    </xf>
    <xf numFmtId="43" fontId="44" fillId="2" borderId="0" xfId="2" applyNumberFormat="1" applyFont="1" applyFill="1" applyAlignment="1">
      <alignment vertical="center"/>
    </xf>
    <xf numFmtId="164" fontId="34" fillId="2" borderId="0" xfId="2" applyNumberFormat="1" applyFont="1" applyFill="1" applyAlignment="1">
      <alignment vertical="center"/>
    </xf>
    <xf numFmtId="0" fontId="35" fillId="2" borderId="0" xfId="2" applyFont="1" applyFill="1" applyBorder="1" applyAlignment="1">
      <alignment vertical="center"/>
    </xf>
    <xf numFmtId="0" fontId="32" fillId="2" borderId="0" xfId="2" applyFont="1" applyFill="1" applyAlignment="1">
      <alignment vertical="center"/>
    </xf>
    <xf numFmtId="0" fontId="39" fillId="2" borderId="0" xfId="2" applyFont="1" applyFill="1" applyAlignment="1">
      <alignment vertical="center"/>
    </xf>
    <xf numFmtId="43" fontId="37" fillId="2" borderId="0" xfId="2" applyNumberFormat="1" applyFont="1" applyFill="1" applyAlignment="1">
      <alignment vertical="center"/>
    </xf>
    <xf numFmtId="164" fontId="39" fillId="2" borderId="0" xfId="2" applyNumberFormat="1" applyFont="1" applyFill="1" applyAlignment="1">
      <alignment vertical="center"/>
    </xf>
    <xf numFmtId="0" fontId="40" fillId="2" borderId="0" xfId="2" applyFont="1" applyFill="1" applyAlignment="1">
      <alignment vertical="center"/>
    </xf>
    <xf numFmtId="164" fontId="40" fillId="2" borderId="0" xfId="2" applyNumberFormat="1" applyFont="1" applyFill="1" applyAlignment="1">
      <alignment vertical="center"/>
    </xf>
    <xf numFmtId="164" fontId="29" fillId="2" borderId="0" xfId="2" applyNumberFormat="1" applyFont="1" applyFill="1" applyAlignment="1">
      <alignment vertical="center"/>
    </xf>
    <xf numFmtId="3" fontId="46" fillId="2" borderId="0" xfId="2" applyNumberFormat="1" applyFont="1" applyFill="1" applyBorder="1" applyAlignment="1">
      <alignment horizontal="right" vertical="center"/>
    </xf>
    <xf numFmtId="167" fontId="29" fillId="2" borderId="0" xfId="2" applyNumberFormat="1" applyFont="1" applyFill="1" applyAlignment="1">
      <alignment vertical="center"/>
    </xf>
    <xf numFmtId="3" fontId="31" fillId="2" borderId="0" xfId="2" applyNumberFormat="1" applyFont="1" applyFill="1" applyBorder="1" applyAlignment="1">
      <alignment horizontal="right" vertical="center"/>
    </xf>
    <xf numFmtId="0" fontId="43" fillId="2" borderId="0" xfId="2" applyFont="1" applyFill="1" applyAlignment="1">
      <alignment vertical="center"/>
    </xf>
    <xf numFmtId="0" fontId="44" fillId="2" borderId="0" xfId="2" applyFont="1" applyFill="1" applyAlignment="1">
      <alignment vertical="center"/>
    </xf>
    <xf numFmtId="0" fontId="45" fillId="2" borderId="0" xfId="2" applyFont="1" applyFill="1" applyAlignment="1">
      <alignment vertical="center"/>
    </xf>
    <xf numFmtId="3" fontId="31" fillId="2" borderId="0" xfId="2" applyNumberFormat="1" applyFont="1" applyFill="1" applyBorder="1" applyAlignment="1">
      <alignment horizontal="left" vertical="center"/>
    </xf>
    <xf numFmtId="164" fontId="44" fillId="2" borderId="0" xfId="2" applyNumberFormat="1" applyFont="1" applyFill="1" applyAlignment="1">
      <alignment vertical="center"/>
    </xf>
    <xf numFmtId="164" fontId="45" fillId="2" borderId="0" xfId="2" applyNumberFormat="1" applyFont="1" applyFill="1" applyAlignment="1">
      <alignment vertical="center"/>
    </xf>
    <xf numFmtId="0" fontId="45" fillId="2" borderId="0" xfId="2" quotePrefix="1" applyFont="1" applyFill="1" applyAlignment="1">
      <alignment vertical="center"/>
    </xf>
    <xf numFmtId="3" fontId="35" fillId="2" borderId="0" xfId="2" applyNumberFormat="1" applyFont="1" applyFill="1" applyBorder="1" applyAlignment="1">
      <alignment horizontal="right" vertical="center"/>
    </xf>
    <xf numFmtId="0" fontId="31" fillId="2" borderId="0" xfId="2" applyFont="1" applyFill="1" applyBorder="1" applyAlignment="1">
      <alignment vertical="center"/>
    </xf>
    <xf numFmtId="3" fontId="46" fillId="2" borderId="0" xfId="4" applyNumberFormat="1" applyFont="1" applyFill="1" applyBorder="1" applyAlignment="1">
      <alignment horizontal="right" vertical="center"/>
    </xf>
    <xf numFmtId="3" fontId="31" fillId="2" borderId="0" xfId="4" applyNumberFormat="1" applyFont="1" applyFill="1" applyBorder="1" applyAlignment="1">
      <alignment horizontal="right" vertical="center"/>
    </xf>
    <xf numFmtId="43" fontId="34" fillId="2" borderId="0" xfId="2" applyNumberFormat="1" applyFont="1" applyFill="1" applyAlignment="1">
      <alignment vertical="center"/>
    </xf>
    <xf numFmtId="3" fontId="41" fillId="2" borderId="0" xfId="4" applyNumberFormat="1" applyFont="1" applyFill="1" applyBorder="1" applyAlignment="1">
      <alignment horizontal="right" vertical="center"/>
    </xf>
    <xf numFmtId="0" fontId="36" fillId="2" borderId="0" xfId="2" applyFont="1" applyFill="1" applyAlignment="1">
      <alignment vertical="center"/>
    </xf>
    <xf numFmtId="0" fontId="37" fillId="2" borderId="0" xfId="2" applyFont="1" applyFill="1" applyAlignment="1">
      <alignment vertical="center"/>
    </xf>
    <xf numFmtId="166" fontId="40" fillId="2" borderId="0" xfId="2" applyNumberFormat="1" applyFont="1" applyFill="1" applyAlignment="1">
      <alignment vertical="center"/>
    </xf>
    <xf numFmtId="0" fontId="38" fillId="2" borderId="0" xfId="2" applyFont="1" applyFill="1" applyAlignment="1">
      <alignment vertical="center"/>
    </xf>
    <xf numFmtId="3" fontId="35" fillId="2" borderId="0" xfId="4" applyNumberFormat="1" applyFont="1" applyFill="1" applyBorder="1" applyAlignment="1">
      <alignment horizontal="right" vertical="center"/>
    </xf>
    <xf numFmtId="4" fontId="46" fillId="2" borderId="0" xfId="4" applyNumberFormat="1" applyFont="1" applyFill="1" applyBorder="1" applyAlignment="1">
      <alignment horizontal="right" vertical="center"/>
    </xf>
    <xf numFmtId="3" fontId="43" fillId="2" borderId="0" xfId="2" applyNumberFormat="1" applyFont="1" applyFill="1" applyAlignment="1">
      <alignment vertical="center"/>
    </xf>
    <xf numFmtId="169" fontId="43" fillId="2" borderId="0" xfId="0" applyNumberFormat="1" applyFont="1" applyFill="1" applyAlignment="1">
      <alignment vertical="center"/>
    </xf>
    <xf numFmtId="170" fontId="43" fillId="2" borderId="0" xfId="0" applyNumberFormat="1" applyFont="1" applyFill="1" applyAlignment="1">
      <alignment vertical="center"/>
    </xf>
    <xf numFmtId="3" fontId="46" fillId="2" borderId="0" xfId="4" applyNumberFormat="1" applyFont="1" applyFill="1" applyBorder="1" applyAlignment="1">
      <alignment horizontal="left" vertical="center" wrapText="1"/>
    </xf>
    <xf numFmtId="3" fontId="46" fillId="2" borderId="0" xfId="4" applyNumberFormat="1" applyFont="1" applyFill="1" applyBorder="1" applyAlignment="1">
      <alignment horizontal="center" vertical="center" wrapText="1"/>
    </xf>
    <xf numFmtId="3" fontId="46" fillId="2" borderId="0" xfId="2" applyNumberFormat="1" applyFont="1" applyFill="1" applyBorder="1" applyAlignment="1">
      <alignment vertical="center"/>
    </xf>
    <xf numFmtId="171" fontId="46" fillId="2" borderId="0" xfId="0" applyNumberFormat="1" applyFont="1" applyFill="1" applyBorder="1" applyAlignment="1">
      <alignment vertical="center"/>
    </xf>
    <xf numFmtId="43" fontId="33" fillId="2" borderId="0" xfId="1" applyFont="1" applyFill="1" applyAlignment="1">
      <alignment vertical="center"/>
    </xf>
    <xf numFmtId="164" fontId="33" fillId="2" borderId="0" xfId="2" applyNumberFormat="1" applyFont="1" applyFill="1" applyAlignment="1">
      <alignment vertical="center"/>
    </xf>
    <xf numFmtId="3" fontId="35" fillId="2" borderId="0" xfId="2" applyNumberFormat="1" applyFont="1" applyFill="1" applyBorder="1" applyAlignment="1">
      <alignment vertical="center"/>
    </xf>
    <xf numFmtId="3" fontId="31" fillId="2" borderId="0" xfId="2" applyNumberFormat="1" applyFont="1" applyFill="1" applyBorder="1" applyAlignment="1">
      <alignment vertical="center"/>
    </xf>
    <xf numFmtId="3" fontId="46" fillId="2" borderId="0" xfId="8" applyNumberFormat="1" applyFont="1" applyFill="1" applyBorder="1" applyAlignment="1">
      <alignment horizontal="center" vertical="center"/>
    </xf>
    <xf numFmtId="3" fontId="33" fillId="2" borderId="0" xfId="0" applyNumberFormat="1" applyFont="1" applyFill="1"/>
    <xf numFmtId="0" fontId="33" fillId="2" borderId="0" xfId="0" applyFont="1" applyFill="1"/>
    <xf numFmtId="0" fontId="46" fillId="2" borderId="0" xfId="0" applyFont="1" applyFill="1" applyBorder="1"/>
    <xf numFmtId="4" fontId="35" fillId="2" borderId="0" xfId="2" applyNumberFormat="1" applyFont="1" applyFill="1" applyBorder="1" applyAlignment="1">
      <alignment vertical="center"/>
    </xf>
    <xf numFmtId="3" fontId="46" fillId="2" borderId="0" xfId="0" applyNumberFormat="1" applyFont="1" applyFill="1" applyBorder="1" applyAlignment="1">
      <alignment horizontal="center" vertical="center" wrapText="1"/>
    </xf>
    <xf numFmtId="166" fontId="34" fillId="2" borderId="0" xfId="2" applyNumberFormat="1" applyFont="1" applyFill="1" applyAlignment="1">
      <alignment vertical="center"/>
    </xf>
    <xf numFmtId="3" fontId="46" fillId="0" borderId="0" xfId="0" applyNumberFormat="1" applyFont="1" applyFill="1" applyBorder="1" applyAlignment="1">
      <alignment horizontal="center" vertical="center" wrapText="1"/>
    </xf>
    <xf numFmtId="0" fontId="33" fillId="0" borderId="0" xfId="2" applyFont="1" applyFill="1" applyAlignment="1">
      <alignment vertical="center" wrapText="1"/>
    </xf>
    <xf numFmtId="0" fontId="30" fillId="0" borderId="0" xfId="0" applyFont="1" applyFill="1"/>
    <xf numFmtId="0" fontId="46" fillId="2" borderId="0" xfId="2" applyFont="1" applyFill="1" applyBorder="1" applyAlignment="1">
      <alignment vertical="center" wrapText="1"/>
    </xf>
    <xf numFmtId="3" fontId="46" fillId="2" borderId="0" xfId="0" applyNumberFormat="1" applyFont="1" applyFill="1" applyBorder="1" applyAlignment="1">
      <alignment vertical="center"/>
    </xf>
    <xf numFmtId="172" fontId="46" fillId="2" borderId="0" xfId="1" applyNumberFormat="1" applyFont="1" applyFill="1" applyBorder="1" applyAlignment="1">
      <alignment vertical="center"/>
    </xf>
    <xf numFmtId="175" fontId="46" fillId="2" borderId="0" xfId="1" applyNumberFormat="1" applyFont="1" applyFill="1" applyBorder="1" applyAlignment="1">
      <alignment vertical="center"/>
    </xf>
    <xf numFmtId="172" fontId="31" fillId="2" borderId="0" xfId="1" applyNumberFormat="1" applyFont="1" applyFill="1" applyBorder="1" applyAlignment="1">
      <alignment vertical="center"/>
    </xf>
    <xf numFmtId="4" fontId="46" fillId="2" borderId="0" xfId="8" applyNumberFormat="1" applyFont="1" applyFill="1" applyBorder="1" applyAlignment="1">
      <alignment horizontal="right" vertical="center"/>
    </xf>
    <xf numFmtId="43" fontId="46" fillId="2" borderId="0" xfId="1" applyFont="1" applyFill="1" applyBorder="1" applyAlignment="1">
      <alignment vertical="center"/>
    </xf>
    <xf numFmtId="178" fontId="3" fillId="2" borderId="0" xfId="2" applyNumberFormat="1" applyFont="1" applyFill="1" applyAlignment="1">
      <alignment horizontal="right" vertical="center"/>
    </xf>
    <xf numFmtId="179" fontId="7" fillId="4" borderId="2" xfId="1" applyNumberFormat="1" applyFont="1" applyFill="1" applyBorder="1" applyAlignment="1">
      <alignment horizontal="right" vertical="center"/>
    </xf>
    <xf numFmtId="0" fontId="7" fillId="4" borderId="2" xfId="0" applyFont="1" applyFill="1" applyBorder="1" applyAlignment="1">
      <alignment horizontal="center" vertical="center" wrapText="1"/>
    </xf>
    <xf numFmtId="1" fontId="7" fillId="4" borderId="2" xfId="0" applyNumberFormat="1" applyFont="1" applyFill="1" applyBorder="1" applyAlignment="1">
      <alignment horizontal="center" vertical="center" wrapText="1"/>
    </xf>
    <xf numFmtId="0" fontId="47" fillId="2" borderId="2" xfId="2" applyFont="1" applyFill="1" applyBorder="1" applyAlignment="1">
      <alignment vertical="center"/>
    </xf>
    <xf numFmtId="164" fontId="48" fillId="2" borderId="2" xfId="2" applyNumberFormat="1" applyFont="1" applyFill="1" applyBorder="1" applyAlignment="1">
      <alignment vertical="center"/>
    </xf>
    <xf numFmtId="0" fontId="48" fillId="2" borderId="2" xfId="2" applyFont="1" applyFill="1" applyBorder="1" applyAlignment="1">
      <alignment vertical="center"/>
    </xf>
    <xf numFmtId="2" fontId="48" fillId="2" borderId="2" xfId="2" applyNumberFormat="1" applyFont="1" applyFill="1" applyBorder="1" applyAlignment="1">
      <alignment vertical="center"/>
    </xf>
    <xf numFmtId="164" fontId="47" fillId="2" borderId="2" xfId="2" applyNumberFormat="1" applyFont="1" applyFill="1" applyBorder="1" applyAlignment="1">
      <alignment vertical="center"/>
    </xf>
    <xf numFmtId="165" fontId="48" fillId="2" borderId="2" xfId="2" applyNumberFormat="1" applyFont="1" applyFill="1" applyBorder="1" applyAlignment="1">
      <alignment vertical="center"/>
    </xf>
    <xf numFmtId="0" fontId="49" fillId="2" borderId="2" xfId="2" applyFont="1" applyFill="1" applyBorder="1" applyAlignment="1">
      <alignment vertical="center"/>
    </xf>
    <xf numFmtId="2" fontId="49" fillId="2" borderId="2" xfId="2" applyNumberFormat="1" applyFont="1" applyFill="1" applyBorder="1" applyAlignment="1">
      <alignment vertical="center"/>
    </xf>
    <xf numFmtId="164" fontId="49" fillId="2" borderId="2" xfId="2" applyNumberFormat="1" applyFont="1" applyFill="1" applyBorder="1" applyAlignment="1">
      <alignment vertical="center"/>
    </xf>
    <xf numFmtId="166" fontId="9" fillId="0" borderId="3" xfId="3" applyNumberFormat="1" applyFont="1" applyFill="1" applyBorder="1" applyAlignment="1">
      <alignment horizontal="center" vertical="center" wrapText="1"/>
    </xf>
    <xf numFmtId="4" fontId="11" fillId="0" borderId="2" xfId="2" applyNumberFormat="1" applyFont="1" applyFill="1" applyBorder="1" applyAlignment="1">
      <alignment vertical="center" wrapText="1"/>
    </xf>
    <xf numFmtId="165" fontId="14" fillId="0" borderId="2" xfId="3" applyFont="1" applyFill="1" applyBorder="1" applyAlignment="1">
      <alignment horizontal="right" vertical="center"/>
    </xf>
    <xf numFmtId="166" fontId="9" fillId="2" borderId="2" xfId="3" applyNumberFormat="1" applyFont="1" applyFill="1" applyBorder="1" applyAlignment="1">
      <alignment horizontal="center" vertical="center" wrapText="1"/>
    </xf>
    <xf numFmtId="2" fontId="8" fillId="2" borderId="2" xfId="2" applyNumberFormat="1" applyFont="1" applyFill="1" applyBorder="1" applyAlignment="1">
      <alignment horizontal="center" vertical="center"/>
    </xf>
    <xf numFmtId="2" fontId="6" fillId="2" borderId="2" xfId="2" applyNumberFormat="1" applyFont="1" applyFill="1" applyBorder="1" applyAlignment="1">
      <alignment horizontal="center" vertical="center"/>
    </xf>
    <xf numFmtId="167" fontId="11" fillId="2" borderId="2" xfId="2" applyNumberFormat="1" applyFont="1" applyFill="1" applyBorder="1" applyAlignment="1">
      <alignment horizontal="center" vertical="center"/>
    </xf>
    <xf numFmtId="2" fontId="8" fillId="0" borderId="2" xfId="2" applyNumberFormat="1" applyFont="1" applyFill="1" applyBorder="1" applyAlignment="1">
      <alignment horizontal="center" vertical="center"/>
    </xf>
    <xf numFmtId="43" fontId="9" fillId="2" borderId="3" xfId="1" applyFont="1" applyFill="1" applyBorder="1" applyAlignment="1">
      <alignment horizontal="center" vertical="center" wrapText="1"/>
    </xf>
    <xf numFmtId="43" fontId="9" fillId="2" borderId="8" xfId="1" applyFont="1" applyFill="1" applyBorder="1" applyAlignment="1">
      <alignment horizontal="center" vertical="center" wrapText="1"/>
    </xf>
    <xf numFmtId="43" fontId="9" fillId="2" borderId="7" xfId="1" applyFont="1" applyFill="1" applyBorder="1" applyAlignment="1">
      <alignment horizontal="center" vertical="center" wrapText="1"/>
    </xf>
    <xf numFmtId="165" fontId="9" fillId="2" borderId="3" xfId="3" applyFont="1" applyFill="1" applyBorder="1" applyAlignment="1">
      <alignment horizontal="center" vertical="center" wrapText="1"/>
    </xf>
    <xf numFmtId="165" fontId="9" fillId="2" borderId="8" xfId="3" applyFont="1" applyFill="1" applyBorder="1" applyAlignment="1">
      <alignment horizontal="center" vertical="center" wrapText="1"/>
    </xf>
    <xf numFmtId="165" fontId="9" fillId="2" borderId="7" xfId="3" applyFont="1" applyFill="1" applyBorder="1" applyAlignment="1">
      <alignment horizontal="center" vertical="center" wrapText="1"/>
    </xf>
    <xf numFmtId="169" fontId="9" fillId="2" borderId="3" xfId="4" applyNumberFormat="1" applyFont="1" applyFill="1" applyBorder="1" applyAlignment="1">
      <alignment horizontal="center" vertical="center"/>
    </xf>
    <xf numFmtId="169" fontId="9" fillId="2" borderId="8" xfId="4" applyNumberFormat="1" applyFont="1" applyFill="1" applyBorder="1" applyAlignment="1">
      <alignment horizontal="center" vertical="center"/>
    </xf>
    <xf numFmtId="169" fontId="9" fillId="2" borderId="7" xfId="4" applyNumberFormat="1" applyFont="1" applyFill="1" applyBorder="1" applyAlignment="1">
      <alignment horizontal="center" vertical="center"/>
    </xf>
    <xf numFmtId="2" fontId="9" fillId="2" borderId="3" xfId="2" applyNumberFormat="1" applyFont="1" applyFill="1" applyBorder="1" applyAlignment="1">
      <alignment horizontal="center" vertical="center"/>
    </xf>
    <xf numFmtId="2" fontId="9" fillId="2" borderId="8" xfId="2" applyNumberFormat="1" applyFont="1" applyFill="1" applyBorder="1" applyAlignment="1">
      <alignment horizontal="center" vertical="center"/>
    </xf>
    <xf numFmtId="2" fontId="9" fillId="2" borderId="7" xfId="2" applyNumberFormat="1" applyFont="1" applyFill="1" applyBorder="1" applyAlignment="1">
      <alignment horizontal="center" vertical="center"/>
    </xf>
    <xf numFmtId="49" fontId="7" fillId="2" borderId="12" xfId="8" applyNumberFormat="1" applyFont="1" applyFill="1" applyBorder="1" applyAlignment="1">
      <alignment horizontal="left" vertical="center" wrapText="1"/>
    </xf>
    <xf numFmtId="49" fontId="7" fillId="2" borderId="1" xfId="8" applyNumberFormat="1" applyFont="1" applyFill="1" applyBorder="1" applyAlignment="1">
      <alignment horizontal="left" vertical="center" wrapText="1"/>
    </xf>
    <xf numFmtId="49" fontId="7" fillId="2" borderId="13" xfId="8" applyNumberFormat="1" applyFont="1" applyFill="1" applyBorder="1" applyAlignment="1">
      <alignment horizontal="left" vertical="center" wrapText="1"/>
    </xf>
    <xf numFmtId="0" fontId="11" fillId="0" borderId="3"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8" fillId="0" borderId="3" xfId="2" applyFont="1" applyFill="1" applyBorder="1" applyAlignment="1">
      <alignment horizontal="center" vertical="center" wrapText="1"/>
    </xf>
    <xf numFmtId="0" fontId="8" fillId="0" borderId="7" xfId="2" applyFont="1" applyFill="1" applyBorder="1" applyAlignment="1">
      <alignment horizontal="center" vertical="center" wrapText="1"/>
    </xf>
    <xf numFmtId="1" fontId="8" fillId="2" borderId="3" xfId="2" applyNumberFormat="1" applyFont="1" applyFill="1" applyBorder="1" applyAlignment="1">
      <alignment horizontal="center" vertical="center" wrapText="1"/>
    </xf>
    <xf numFmtId="1" fontId="8" fillId="2" borderId="7" xfId="2" applyNumberFormat="1"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2" fontId="8" fillId="2" borderId="7" xfId="2" applyNumberFormat="1" applyFont="1" applyFill="1" applyBorder="1" applyAlignment="1">
      <alignment horizontal="center" vertical="center" wrapText="1"/>
    </xf>
    <xf numFmtId="43" fontId="9" fillId="0" borderId="3" xfId="1" applyFont="1" applyFill="1" applyBorder="1" applyAlignment="1">
      <alignment horizontal="center" vertical="center" wrapText="1"/>
    </xf>
    <xf numFmtId="43" fontId="9" fillId="0" borderId="7" xfId="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9" fillId="2" borderId="7"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0" fontId="7" fillId="0" borderId="4" xfId="4" applyFont="1" applyBorder="1" applyAlignment="1">
      <alignment horizontal="left" vertical="center" wrapText="1"/>
    </xf>
    <xf numFmtId="0" fontId="7" fillId="0" borderId="5" xfId="4" applyFont="1" applyBorder="1" applyAlignment="1">
      <alignment horizontal="left" vertical="center" wrapText="1"/>
    </xf>
    <xf numFmtId="0" fontId="7" fillId="0" borderId="6" xfId="4" applyFont="1" applyBorder="1" applyAlignment="1">
      <alignment horizontal="left" vertical="center" wrapText="1"/>
    </xf>
    <xf numFmtId="0" fontId="11" fillId="2" borderId="3" xfId="2" applyFont="1" applyFill="1" applyBorder="1" applyAlignment="1">
      <alignment horizontal="right" vertical="center" wrapText="1"/>
    </xf>
    <xf numFmtId="0" fontId="11" fillId="2" borderId="7" xfId="2" applyFont="1" applyFill="1" applyBorder="1" applyAlignment="1">
      <alignment horizontal="right" vertical="center" wrapText="1"/>
    </xf>
    <xf numFmtId="0" fontId="11" fillId="2" borderId="3"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8" fillId="2" borderId="3" xfId="2" applyFont="1" applyFill="1" applyBorder="1" applyAlignment="1">
      <alignment horizontal="right" vertical="center" wrapText="1"/>
    </xf>
    <xf numFmtId="0" fontId="8" fillId="2" borderId="7" xfId="2" applyFont="1" applyFill="1" applyBorder="1" applyAlignment="1">
      <alignment horizontal="right" vertical="center" wrapText="1"/>
    </xf>
    <xf numFmtId="0" fontId="8" fillId="2" borderId="3" xfId="2" applyFont="1" applyFill="1" applyBorder="1" applyAlignment="1">
      <alignment horizontal="center" vertical="center" wrapText="1"/>
    </xf>
    <xf numFmtId="0" fontId="8" fillId="2" borderId="7" xfId="2" applyFont="1" applyFill="1" applyBorder="1" applyAlignment="1">
      <alignment horizontal="center" vertical="center" wrapText="1"/>
    </xf>
    <xf numFmtId="49" fontId="7" fillId="2" borderId="4" xfId="8" applyNumberFormat="1" applyFont="1" applyFill="1" applyBorder="1" applyAlignment="1">
      <alignment horizontal="left" vertical="center" wrapText="1"/>
    </xf>
    <xf numFmtId="49" fontId="7" fillId="2" borderId="5" xfId="8" applyNumberFormat="1" applyFont="1" applyFill="1" applyBorder="1" applyAlignment="1">
      <alignment horizontal="left" vertical="center" wrapText="1"/>
    </xf>
    <xf numFmtId="49" fontId="7" fillId="2" borderId="6" xfId="8" applyNumberFormat="1" applyFont="1" applyFill="1" applyBorder="1" applyAlignment="1">
      <alignment horizontal="left" vertical="center" wrapText="1"/>
    </xf>
    <xf numFmtId="0" fontId="4" fillId="2" borderId="0" xfId="2" applyFont="1" applyFill="1" applyAlignment="1">
      <alignment horizontal="center" vertical="center" wrapText="1"/>
    </xf>
    <xf numFmtId="0" fontId="6" fillId="2" borderId="1" xfId="2" applyFont="1" applyFill="1" applyBorder="1" applyAlignment="1">
      <alignment horizontal="center" vertical="center"/>
    </xf>
    <xf numFmtId="0" fontId="7" fillId="2" borderId="2" xfId="2" applyFont="1" applyFill="1" applyBorder="1" applyAlignment="1">
      <alignment horizontal="center" vertical="center" wrapText="1"/>
    </xf>
    <xf numFmtId="43" fontId="7" fillId="0" borderId="3" xfId="1" applyFont="1" applyFill="1" applyBorder="1" applyAlignment="1">
      <alignment horizontal="center" vertical="center" wrapText="1"/>
    </xf>
    <xf numFmtId="43" fontId="7" fillId="0" borderId="7" xfId="1"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0" fontId="7" fillId="0" borderId="6" xfId="2" applyFont="1" applyBorder="1" applyAlignment="1">
      <alignment horizontal="left" vertical="center" wrapText="1"/>
    </xf>
    <xf numFmtId="3" fontId="9" fillId="2" borderId="3" xfId="4" applyNumberFormat="1" applyFont="1" applyFill="1" applyBorder="1" applyAlignment="1">
      <alignment horizontal="center" vertical="center" wrapText="1"/>
    </xf>
    <xf numFmtId="3" fontId="9" fillId="2" borderId="7" xfId="4" applyNumberFormat="1" applyFont="1" applyFill="1" applyBorder="1" applyAlignment="1">
      <alignment horizontal="center" vertical="center" wrapText="1"/>
    </xf>
    <xf numFmtId="176" fontId="7" fillId="4" borderId="3" xfId="1" applyNumberFormat="1" applyFont="1" applyFill="1" applyBorder="1" applyAlignment="1">
      <alignment horizontal="center" vertical="center" wrapText="1"/>
    </xf>
    <xf numFmtId="176" fontId="7" fillId="4" borderId="7" xfId="1"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1" fontId="7" fillId="4" borderId="2"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43" fontId="7" fillId="4" borderId="9" xfId="1" applyFont="1" applyFill="1" applyBorder="1" applyAlignment="1">
      <alignment horizontal="center" vertical="center" wrapText="1"/>
    </xf>
    <xf numFmtId="43" fontId="7" fillId="4" borderId="1" xfId="1" applyFont="1" applyFill="1" applyBorder="1" applyAlignment="1">
      <alignment horizontal="center" vertical="center" wrapText="1"/>
    </xf>
    <xf numFmtId="176" fontId="7" fillId="4" borderId="3" xfId="0" applyNumberFormat="1" applyFont="1" applyFill="1" applyBorder="1" applyAlignment="1">
      <alignment horizontal="center" vertical="center" wrapText="1"/>
    </xf>
    <xf numFmtId="176" fontId="7" fillId="4" borderId="7" xfId="0" applyNumberFormat="1" applyFont="1" applyFill="1" applyBorder="1" applyAlignment="1">
      <alignment horizontal="center" vertical="center" wrapText="1"/>
    </xf>
  </cellXfs>
  <cellStyles count="16">
    <cellStyle name="Comma" xfId="1" builtinId="3"/>
    <cellStyle name="Comma 2 2 2" xfId="3"/>
    <cellStyle name="Comma 61" xfId="10"/>
    <cellStyle name="Normal" xfId="0" builtinId="0"/>
    <cellStyle name="Normal 2 3" xfId="9"/>
    <cellStyle name="Normal 3_17 bieu (hung cap nhap)" xfId="2"/>
    <cellStyle name="Normal 36" xfId="15"/>
    <cellStyle name="Normal 40" xfId="7"/>
    <cellStyle name="Normal 5 3" xfId="11"/>
    <cellStyle name="Normal 7" xfId="14"/>
    <cellStyle name="Normal_17 bieu (hung cap nhap)" xfId="4"/>
    <cellStyle name="Normal_bieu mau 2012 (cap nhap)" xfId="8"/>
    <cellStyle name="Normal_bieu mau KH2008" xfId="6"/>
    <cellStyle name="Normal_Bieu XDKH 2010- Dia phuong (hung)" xfId="5"/>
    <cellStyle name="Normal_Sheet6 2" xfId="13"/>
    <cellStyle name="Percent 5"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7"/>
  <sheetViews>
    <sheetView zoomScaleNormal="100" workbookViewId="0">
      <pane xSplit="1" ySplit="5" topLeftCell="B24" activePane="bottomRight" state="frozen"/>
      <selection pane="topRight" activeCell="B1" sqref="B1"/>
      <selection pane="bottomLeft" activeCell="A6" sqref="A6"/>
      <selection pane="bottomRight" activeCell="K13" sqref="K13"/>
    </sheetView>
  </sheetViews>
  <sheetFormatPr defaultRowHeight="15" x14ac:dyDescent="0.25"/>
  <cols>
    <col min="1" max="1" width="9.28515625" bestFit="1" customWidth="1"/>
    <col min="2" max="2" width="25.5703125" customWidth="1"/>
    <col min="3" max="3" width="9.28515625" bestFit="1" customWidth="1"/>
    <col min="4" max="4" width="15.5703125" style="335" hidden="1" customWidth="1"/>
    <col min="5" max="5" width="14.42578125" style="226" bestFit="1" customWidth="1"/>
    <col min="6" max="6" width="20" style="335" bestFit="1" customWidth="1"/>
    <col min="7" max="7" width="14.42578125" style="335" customWidth="1"/>
    <col min="8" max="8" width="12" hidden="1" customWidth="1"/>
    <col min="9" max="9" width="9.140625" hidden="1" customWidth="1"/>
    <col min="10" max="10" width="11.85546875" customWidth="1"/>
    <col min="11" max="11" width="14.5703125" customWidth="1"/>
    <col min="12" max="12" width="33.5703125" style="390" bestFit="1" customWidth="1"/>
    <col min="13" max="13" width="9.28515625" style="390" hidden="1" customWidth="1"/>
    <col min="14" max="14" width="12.42578125" style="390" hidden="1" customWidth="1"/>
    <col min="15" max="15" width="10.42578125" style="390" hidden="1" customWidth="1"/>
    <col min="16" max="16" width="12.42578125" style="390" hidden="1" customWidth="1"/>
    <col min="17" max="17" width="9.140625" style="390"/>
    <col min="18" max="18" width="9.140625" style="390" bestFit="1" customWidth="1"/>
    <col min="19" max="19" width="16.85546875" style="390" bestFit="1" customWidth="1"/>
    <col min="20" max="20" width="9.140625" style="390"/>
    <col min="21" max="21" width="17.28515625" style="390" bestFit="1" customWidth="1"/>
    <col min="22" max="22" width="9.42578125" style="390" bestFit="1" customWidth="1"/>
    <col min="23" max="23" width="9.28515625" style="390" bestFit="1" customWidth="1"/>
    <col min="24" max="24" width="14.7109375" style="390" bestFit="1" customWidth="1"/>
    <col min="25" max="25" width="17.28515625" style="390" bestFit="1" customWidth="1"/>
    <col min="26" max="27" width="9.140625" style="390"/>
  </cols>
  <sheetData>
    <row r="1" spans="1:27" ht="18.75" x14ac:dyDescent="0.3">
      <c r="A1" s="553" t="s">
        <v>0</v>
      </c>
      <c r="B1" s="553"/>
      <c r="C1" s="553"/>
      <c r="D1" s="553"/>
      <c r="E1" s="553"/>
      <c r="F1" s="553"/>
      <c r="G1" s="553"/>
      <c r="H1" s="553"/>
      <c r="I1" s="553"/>
      <c r="J1" s="553"/>
      <c r="K1" s="553"/>
      <c r="L1" s="385"/>
      <c r="M1" s="386"/>
      <c r="N1" s="387"/>
      <c r="O1" s="387"/>
      <c r="P1" s="387"/>
      <c r="Q1" s="388"/>
      <c r="R1" s="388"/>
      <c r="S1" s="388"/>
      <c r="T1" s="388"/>
      <c r="U1" s="388"/>
      <c r="V1" s="389"/>
      <c r="W1" s="389"/>
      <c r="X1" s="389"/>
      <c r="Y1" s="389"/>
    </row>
    <row r="2" spans="1:27" ht="18.75" x14ac:dyDescent="0.25">
      <c r="A2" s="554" t="s">
        <v>318</v>
      </c>
      <c r="B2" s="554"/>
      <c r="C2" s="554"/>
      <c r="D2" s="554"/>
      <c r="E2" s="554"/>
      <c r="F2" s="554"/>
      <c r="G2" s="554"/>
      <c r="H2" s="554"/>
      <c r="I2" s="554"/>
      <c r="J2" s="554"/>
      <c r="K2" s="554"/>
      <c r="L2" s="391"/>
      <c r="M2" s="387"/>
      <c r="N2" s="387"/>
      <c r="O2" s="387"/>
      <c r="P2" s="387"/>
      <c r="Q2" s="388"/>
      <c r="R2" s="388"/>
      <c r="S2" s="388"/>
      <c r="T2" s="388"/>
      <c r="U2" s="388"/>
      <c r="V2" s="389"/>
      <c r="W2" s="389"/>
      <c r="X2" s="389"/>
      <c r="Y2" s="389"/>
    </row>
    <row r="3" spans="1:27" ht="15.75" x14ac:dyDescent="0.25">
      <c r="A3" s="555" t="s">
        <v>1</v>
      </c>
      <c r="B3" s="555" t="s">
        <v>2</v>
      </c>
      <c r="C3" s="555" t="s">
        <v>3</v>
      </c>
      <c r="D3" s="556" t="s">
        <v>4</v>
      </c>
      <c r="E3" s="558" t="s">
        <v>5</v>
      </c>
      <c r="F3" s="559"/>
      <c r="G3" s="559"/>
      <c r="H3" s="560"/>
      <c r="I3" s="561"/>
      <c r="J3" s="561"/>
      <c r="K3" s="555" t="s">
        <v>6</v>
      </c>
      <c r="L3" s="392"/>
      <c r="M3" s="393"/>
      <c r="N3" s="393"/>
      <c r="O3" s="393"/>
      <c r="P3" s="393"/>
      <c r="Q3" s="394"/>
      <c r="R3" s="394"/>
      <c r="S3" s="394"/>
      <c r="T3" s="394"/>
      <c r="U3" s="394"/>
      <c r="V3" s="395"/>
      <c r="W3" s="395"/>
      <c r="X3" s="395"/>
      <c r="Y3" s="395"/>
    </row>
    <row r="4" spans="1:27" ht="78.75" x14ac:dyDescent="0.25">
      <c r="A4" s="555"/>
      <c r="B4" s="555"/>
      <c r="C4" s="555"/>
      <c r="D4" s="557"/>
      <c r="E4" s="212" t="s">
        <v>7</v>
      </c>
      <c r="F4" s="307" t="s">
        <v>8</v>
      </c>
      <c r="G4" s="307" t="s">
        <v>301</v>
      </c>
      <c r="H4" s="1" t="s">
        <v>9</v>
      </c>
      <c r="I4" s="1" t="s">
        <v>10</v>
      </c>
      <c r="J4" s="1" t="s">
        <v>321</v>
      </c>
      <c r="K4" s="555"/>
      <c r="L4" s="392"/>
      <c r="M4" s="393"/>
      <c r="N4" s="393"/>
      <c r="O4" s="393"/>
      <c r="P4" s="393"/>
      <c r="Q4" s="394"/>
      <c r="R4" s="394"/>
      <c r="S4" s="394"/>
      <c r="T4" s="394"/>
      <c r="U4" s="394"/>
      <c r="V4" s="395"/>
      <c r="W4" s="395"/>
      <c r="X4" s="395"/>
      <c r="Y4" s="395"/>
    </row>
    <row r="5" spans="1:27" ht="15.75" x14ac:dyDescent="0.25">
      <c r="A5" s="2">
        <v>1</v>
      </c>
      <c r="B5" s="2">
        <v>2</v>
      </c>
      <c r="C5" s="2">
        <v>3</v>
      </c>
      <c r="D5" s="352">
        <v>4</v>
      </c>
      <c r="E5" s="213">
        <v>5</v>
      </c>
      <c r="F5" s="308"/>
      <c r="G5" s="308"/>
      <c r="H5" s="2">
        <v>6</v>
      </c>
      <c r="I5" s="2">
        <v>7</v>
      </c>
      <c r="J5" s="2">
        <v>8</v>
      </c>
      <c r="K5" s="2">
        <v>9</v>
      </c>
      <c r="L5" s="396"/>
      <c r="M5" s="397"/>
      <c r="N5" s="397"/>
      <c r="O5" s="397"/>
      <c r="P5" s="397"/>
      <c r="Q5" s="398"/>
      <c r="R5" s="398"/>
      <c r="S5" s="399">
        <f>9400-H10-H11</f>
        <v>7615.4780484847324</v>
      </c>
      <c r="T5" s="398"/>
      <c r="U5" s="398"/>
      <c r="V5" s="400"/>
      <c r="W5" s="400"/>
      <c r="X5" s="400"/>
      <c r="Y5" s="400"/>
    </row>
    <row r="6" spans="1:27" ht="15.75" x14ac:dyDescent="0.25">
      <c r="A6" s="3" t="s">
        <v>11</v>
      </c>
      <c r="B6" s="562" t="s">
        <v>12</v>
      </c>
      <c r="C6" s="563"/>
      <c r="D6" s="563"/>
      <c r="E6" s="563"/>
      <c r="F6" s="563"/>
      <c r="G6" s="563"/>
      <c r="H6" s="563"/>
      <c r="I6" s="563"/>
      <c r="J6" s="563"/>
      <c r="K6" s="564"/>
      <c r="L6" s="401"/>
      <c r="M6" s="402"/>
      <c r="N6" s="402"/>
      <c r="O6" s="402"/>
      <c r="P6" s="402"/>
      <c r="Q6" s="403"/>
      <c r="R6" s="403"/>
      <c r="S6" s="403"/>
      <c r="T6" s="403"/>
      <c r="U6" s="403"/>
      <c r="V6" s="404"/>
      <c r="W6" s="404"/>
      <c r="X6" s="404"/>
      <c r="Y6" s="404"/>
    </row>
    <row r="7" spans="1:27" ht="31.5" x14ac:dyDescent="0.25">
      <c r="A7" s="3">
        <v>1</v>
      </c>
      <c r="B7" s="4" t="s">
        <v>302</v>
      </c>
      <c r="C7" s="5"/>
      <c r="D7" s="353"/>
      <c r="E7" s="214"/>
      <c r="F7" s="309"/>
      <c r="G7" s="309"/>
      <c r="H7" s="8"/>
      <c r="I7" s="7"/>
      <c r="J7" s="7"/>
      <c r="K7" s="7"/>
      <c r="L7" s="405"/>
      <c r="M7" s="402"/>
      <c r="N7" s="402"/>
      <c r="O7" s="402"/>
      <c r="P7" s="402"/>
      <c r="Q7" s="403"/>
      <c r="R7" s="403"/>
      <c r="S7" s="403"/>
      <c r="T7" s="403"/>
      <c r="U7" s="403"/>
      <c r="V7" s="404"/>
      <c r="W7" s="404"/>
      <c r="X7" s="404"/>
      <c r="Y7" s="404"/>
    </row>
    <row r="8" spans="1:27" s="233" customFormat="1" ht="15.75" x14ac:dyDescent="0.25">
      <c r="A8" s="15" t="s">
        <v>13</v>
      </c>
      <c r="B8" s="19" t="s">
        <v>14</v>
      </c>
      <c r="C8" s="24" t="s">
        <v>15</v>
      </c>
      <c r="D8" s="25">
        <v>0</v>
      </c>
      <c r="E8" s="25">
        <f>SUM(E9:E11)</f>
        <v>4031.2457950231142</v>
      </c>
      <c r="F8" s="25">
        <f>SUM(F9:F11)</f>
        <v>1802.3690133272071</v>
      </c>
      <c r="G8" s="25">
        <f>E8</f>
        <v>4031.2457950231142</v>
      </c>
      <c r="H8" s="21">
        <v>2136.7041114584595</v>
      </c>
      <c r="I8" s="13" t="e">
        <f>H8/D8*100</f>
        <v>#DIV/0!</v>
      </c>
      <c r="J8" s="509">
        <f>F8/E8*100</f>
        <v>44.70997564952183</v>
      </c>
      <c r="K8" s="14"/>
      <c r="L8" s="406"/>
      <c r="M8" s="407"/>
      <c r="N8" s="408">
        <v>42768.994166548189</v>
      </c>
      <c r="O8" s="407"/>
      <c r="P8" s="407"/>
      <c r="Q8" s="409"/>
      <c r="R8" s="410" t="e">
        <f>#REF!-#REF!</f>
        <v>#REF!</v>
      </c>
      <c r="S8" s="411">
        <f>E8-H10-H11</f>
        <v>2246.7238435078461</v>
      </c>
      <c r="T8" s="409"/>
      <c r="U8" s="412">
        <f>H8/E8</f>
        <v>0.53003568130139489</v>
      </c>
      <c r="V8" s="413"/>
      <c r="W8" s="413"/>
      <c r="X8" s="413"/>
      <c r="Y8" s="413"/>
      <c r="Z8" s="414"/>
      <c r="AA8" s="414"/>
    </row>
    <row r="9" spans="1:27" ht="15.75" x14ac:dyDescent="0.25">
      <c r="A9" s="15"/>
      <c r="B9" s="9" t="s">
        <v>16</v>
      </c>
      <c r="C9" s="10" t="s">
        <v>15</v>
      </c>
      <c r="D9" s="11">
        <v>0</v>
      </c>
      <c r="E9" s="11">
        <f>'bảng tính điều chỉnh'!I8</f>
        <v>693.90301159454282</v>
      </c>
      <c r="F9" s="11">
        <f>'bảng tính giá trị'!I8</f>
        <v>295.02039361292145</v>
      </c>
      <c r="G9" s="25">
        <f t="shared" ref="G9:G11" si="0">E9</f>
        <v>693.90301159454282</v>
      </c>
      <c r="H9" s="12">
        <v>352.18215994319166</v>
      </c>
      <c r="I9" s="16" t="e">
        <f>H9/D9*100</f>
        <v>#DIV/0!</v>
      </c>
      <c r="J9" s="509">
        <f t="shared" ref="J9:J11" si="1">F9/E9*100</f>
        <v>42.516084911489905</v>
      </c>
      <c r="K9" s="17"/>
      <c r="L9" s="415"/>
      <c r="M9" s="416"/>
      <c r="N9" s="417">
        <v>10789.072714</v>
      </c>
      <c r="O9" s="416"/>
      <c r="P9" s="416"/>
      <c r="Q9" s="418"/>
      <c r="R9" s="419" t="e">
        <f>#REF!-#REF!</f>
        <v>#REF!</v>
      </c>
      <c r="S9" s="418"/>
      <c r="T9" s="418"/>
      <c r="U9" s="412">
        <f t="shared" ref="U9:U11" si="2">H9/E9</f>
        <v>0.50753801908699103</v>
      </c>
      <c r="V9" s="420"/>
      <c r="W9" s="420"/>
      <c r="X9" s="420"/>
      <c r="Y9" s="420"/>
    </row>
    <row r="10" spans="1:27" ht="15.75" x14ac:dyDescent="0.25">
      <c r="A10" s="15"/>
      <c r="B10" s="9" t="s">
        <v>17</v>
      </c>
      <c r="C10" s="10" t="s">
        <v>18</v>
      </c>
      <c r="D10" s="11">
        <f>(D70*1000*20000+D71*100000000+D72*2000000+D73*8000000+D75*49000000+D77*1221000000+D78*1303390000)/1000000000</f>
        <v>3335.0857912333336</v>
      </c>
      <c r="E10" s="18">
        <f>'bảng tính điều chỉnh'!I9</f>
        <v>3075.5640193285712</v>
      </c>
      <c r="F10" s="18">
        <f>'bảng tính giá trị'!I9</f>
        <v>1338.4795096642856</v>
      </c>
      <c r="G10" s="25">
        <f t="shared" si="0"/>
        <v>3075.5640193285712</v>
      </c>
      <c r="H10" s="12">
        <v>1593.919642227381</v>
      </c>
      <c r="I10" s="16">
        <f>H10/D10*100</f>
        <v>47.792462983026908</v>
      </c>
      <c r="J10" s="509">
        <f t="shared" si="1"/>
        <v>43.519806489233481</v>
      </c>
      <c r="K10" s="17"/>
      <c r="L10" s="415"/>
      <c r="M10" s="416"/>
      <c r="N10" s="417">
        <v>30538.451661215378</v>
      </c>
      <c r="O10" s="416"/>
      <c r="P10" s="416"/>
      <c r="Q10" s="418"/>
      <c r="R10" s="419" t="e">
        <f>#REF!-#REF!</f>
        <v>#REF!</v>
      </c>
      <c r="S10" s="421"/>
      <c r="T10" s="418"/>
      <c r="U10" s="412">
        <f t="shared" si="2"/>
        <v>0.51825279272689329</v>
      </c>
      <c r="V10" s="420"/>
      <c r="W10" s="420"/>
      <c r="X10" s="420"/>
      <c r="Y10" s="420"/>
    </row>
    <row r="11" spans="1:27" ht="15.75" x14ac:dyDescent="0.25">
      <c r="A11" s="15"/>
      <c r="B11" s="9" t="s">
        <v>19</v>
      </c>
      <c r="C11" s="10" t="s">
        <v>15</v>
      </c>
      <c r="D11" s="11">
        <v>0</v>
      </c>
      <c r="E11" s="11">
        <f>'bảng tính điều chỉnh'!I10</f>
        <v>261.77876409999999</v>
      </c>
      <c r="F11" s="11">
        <f>'bảng tính giá trị'!I10</f>
        <v>168.86911004999999</v>
      </c>
      <c r="G11" s="25">
        <f t="shared" si="0"/>
        <v>261.77876409999999</v>
      </c>
      <c r="H11" s="12">
        <v>190.60230928788667</v>
      </c>
      <c r="I11" s="16" t="e">
        <f>H11/D11*100</f>
        <v>#DIV/0!</v>
      </c>
      <c r="J11" s="509">
        <f t="shared" si="1"/>
        <v>64.508330395162105</v>
      </c>
      <c r="K11" s="17"/>
      <c r="L11" s="415"/>
      <c r="M11" s="416"/>
      <c r="N11" s="417">
        <v>1441.469791332815</v>
      </c>
      <c r="O11" s="416"/>
      <c r="P11" s="416"/>
      <c r="Q11" s="418"/>
      <c r="R11" s="419" t="e">
        <f>#REF!-#REF!</f>
        <v>#REF!</v>
      </c>
      <c r="S11" s="418"/>
      <c r="T11" s="418"/>
      <c r="U11" s="412">
        <f t="shared" si="2"/>
        <v>0.72810455020360709</v>
      </c>
      <c r="V11" s="420"/>
      <c r="W11" s="420"/>
      <c r="X11" s="420"/>
      <c r="Y11" s="420"/>
    </row>
    <row r="12" spans="1:27" ht="31.5" x14ac:dyDescent="0.25">
      <c r="A12" s="15">
        <v>2</v>
      </c>
      <c r="B12" s="19" t="s">
        <v>20</v>
      </c>
      <c r="C12" s="20" t="s">
        <v>21</v>
      </c>
      <c r="D12" s="21"/>
      <c r="E12" s="215" t="s">
        <v>22</v>
      </c>
      <c r="F12" s="20"/>
      <c r="G12" s="20"/>
      <c r="H12" s="22">
        <v>250.45939062095604</v>
      </c>
      <c r="I12" s="16"/>
      <c r="J12" s="16"/>
      <c r="K12" s="14"/>
      <c r="L12" s="406"/>
      <c r="M12" s="407"/>
      <c r="N12" s="407"/>
      <c r="O12" s="407"/>
      <c r="P12" s="407"/>
      <c r="Q12" s="409"/>
      <c r="R12" s="419" t="e">
        <f>#REF!-#REF!</f>
        <v>#REF!</v>
      </c>
      <c r="S12" s="409" t="s">
        <v>23</v>
      </c>
      <c r="T12" s="409"/>
      <c r="U12" s="409"/>
      <c r="V12" s="413"/>
      <c r="W12" s="413"/>
      <c r="X12" s="413"/>
      <c r="Y12" s="413"/>
    </row>
    <row r="13" spans="1:27" ht="31.5" x14ac:dyDescent="0.25">
      <c r="A13" s="15">
        <v>3</v>
      </c>
      <c r="B13" s="19" t="s">
        <v>24</v>
      </c>
      <c r="C13" s="20" t="s">
        <v>25</v>
      </c>
      <c r="D13" s="21"/>
      <c r="E13" s="215" t="s">
        <v>22</v>
      </c>
      <c r="F13" s="20"/>
      <c r="G13" s="20"/>
      <c r="H13" s="23"/>
      <c r="I13" s="13"/>
      <c r="J13" s="13"/>
      <c r="K13" s="14"/>
      <c r="L13" s="406"/>
      <c r="M13" s="407"/>
      <c r="N13" s="407"/>
      <c r="O13" s="407"/>
      <c r="P13" s="407"/>
      <c r="Q13" s="409"/>
      <c r="R13" s="410" t="e">
        <f>#REF!-#REF!</f>
        <v>#REF!</v>
      </c>
      <c r="S13" s="409"/>
      <c r="T13" s="409"/>
      <c r="U13" s="409"/>
      <c r="V13" s="413"/>
      <c r="W13" s="413"/>
      <c r="X13" s="413"/>
      <c r="Y13" s="413"/>
    </row>
    <row r="14" spans="1:27" ht="31.5" x14ac:dyDescent="0.25">
      <c r="A14" s="15">
        <v>4</v>
      </c>
      <c r="B14" s="19" t="s">
        <v>26</v>
      </c>
      <c r="C14" s="24" t="s">
        <v>25</v>
      </c>
      <c r="D14" s="25">
        <v>100</v>
      </c>
      <c r="E14" s="25">
        <v>100</v>
      </c>
      <c r="F14" s="25">
        <f>SUM(F15:F17)</f>
        <v>100.00000000000001</v>
      </c>
      <c r="G14" s="25">
        <f>E14</f>
        <v>100</v>
      </c>
      <c r="H14" s="26">
        <f>H15+H16+H17</f>
        <v>100</v>
      </c>
      <c r="I14" s="13"/>
      <c r="J14" s="13"/>
      <c r="K14" s="14"/>
      <c r="L14" s="406"/>
      <c r="M14" s="407"/>
      <c r="N14" s="407"/>
      <c r="O14" s="407"/>
      <c r="P14" s="407"/>
      <c r="Q14" s="409"/>
      <c r="R14" s="410" t="e">
        <f>#REF!-#REF!</f>
        <v>#REF!</v>
      </c>
      <c r="S14" s="409"/>
      <c r="T14" s="409"/>
      <c r="U14" s="409"/>
      <c r="V14" s="413"/>
      <c r="W14" s="413"/>
      <c r="X14" s="413"/>
      <c r="Y14" s="413"/>
    </row>
    <row r="15" spans="1:27" ht="15.75" x14ac:dyDescent="0.25">
      <c r="A15" s="27" t="s">
        <v>13</v>
      </c>
      <c r="B15" s="9" t="s">
        <v>16</v>
      </c>
      <c r="C15" s="10" t="s">
        <v>25</v>
      </c>
      <c r="D15" s="11">
        <v>0</v>
      </c>
      <c r="E15" s="11">
        <f t="shared" ref="E15" si="3">E9/E8%</f>
        <v>17.213115916951033</v>
      </c>
      <c r="F15" s="11">
        <f>F9/F8%</f>
        <v>16.368479009096383</v>
      </c>
      <c r="G15" s="25">
        <f t="shared" ref="G15:G17" si="4">E15</f>
        <v>17.213115916951033</v>
      </c>
      <c r="H15" s="28">
        <f>H9/H8*100</f>
        <v>16.482495543231821</v>
      </c>
      <c r="I15" s="29" t="s">
        <v>27</v>
      </c>
      <c r="J15" s="29"/>
      <c r="K15" s="17"/>
      <c r="L15" s="415"/>
      <c r="M15" s="416"/>
      <c r="N15" s="416"/>
      <c r="O15" s="416"/>
      <c r="P15" s="416"/>
      <c r="Q15" s="418"/>
      <c r="R15" s="419" t="e">
        <f>#REF!-#REF!</f>
        <v>#REF!</v>
      </c>
      <c r="S15" s="418"/>
      <c r="T15" s="418"/>
      <c r="U15" s="418"/>
      <c r="V15" s="420"/>
      <c r="W15" s="420"/>
      <c r="X15" s="420"/>
      <c r="Y15" s="420"/>
    </row>
    <row r="16" spans="1:27" ht="15.75" x14ac:dyDescent="0.25">
      <c r="A16" s="27" t="s">
        <v>13</v>
      </c>
      <c r="B16" s="9" t="s">
        <v>17</v>
      </c>
      <c r="C16" s="10" t="s">
        <v>25</v>
      </c>
      <c r="D16" s="11">
        <v>0</v>
      </c>
      <c r="E16" s="11">
        <f t="shared" ref="E16" si="5">E10/E8%</f>
        <v>76.293140525581293</v>
      </c>
      <c r="F16" s="11">
        <f>F10/F8%</f>
        <v>74.262234856858058</v>
      </c>
      <c r="G16" s="25">
        <f t="shared" si="4"/>
        <v>76.293140525581293</v>
      </c>
      <c r="H16" s="28">
        <f>H10/H8*100</f>
        <v>74.597115888891722</v>
      </c>
      <c r="I16" s="29" t="s">
        <v>29</v>
      </c>
      <c r="J16" s="29"/>
      <c r="K16" s="30"/>
      <c r="L16" s="422"/>
      <c r="M16" s="423"/>
      <c r="N16" s="423"/>
      <c r="O16" s="423"/>
      <c r="P16" s="423"/>
      <c r="Q16" s="424"/>
      <c r="R16" s="419" t="e">
        <f>#REF!-#REF!</f>
        <v>#REF!</v>
      </c>
      <c r="S16" s="424"/>
      <c r="T16" s="424"/>
      <c r="U16" s="424"/>
      <c r="V16" s="425"/>
      <c r="W16" s="425"/>
      <c r="X16" s="425"/>
      <c r="Y16" s="425"/>
    </row>
    <row r="17" spans="1:25" ht="15.75" x14ac:dyDescent="0.25">
      <c r="A17" s="27" t="s">
        <v>13</v>
      </c>
      <c r="B17" s="9" t="s">
        <v>19</v>
      </c>
      <c r="C17" s="10" t="s">
        <v>25</v>
      </c>
      <c r="D17" s="11">
        <v>0</v>
      </c>
      <c r="E17" s="11">
        <f t="shared" ref="E17" si="6">E11/E8%</f>
        <v>6.4937435574676741</v>
      </c>
      <c r="F17" s="11">
        <f>F11/F8%</f>
        <v>9.3692861340455718</v>
      </c>
      <c r="G17" s="25">
        <f t="shared" si="4"/>
        <v>6.4937435574676741</v>
      </c>
      <c r="H17" s="28">
        <f>H11/H8*100</f>
        <v>8.9203885678764578</v>
      </c>
      <c r="I17" s="29" t="s">
        <v>29</v>
      </c>
      <c r="J17" s="29"/>
      <c r="K17" s="30"/>
      <c r="L17" s="422"/>
      <c r="M17" s="423"/>
      <c r="N17" s="423"/>
      <c r="O17" s="423"/>
      <c r="P17" s="423"/>
      <c r="Q17" s="424"/>
      <c r="R17" s="419" t="e">
        <f>#REF!-#REF!</f>
        <v>#REF!</v>
      </c>
      <c r="S17" s="424"/>
      <c r="T17" s="424"/>
      <c r="U17" s="424"/>
      <c r="V17" s="425"/>
      <c r="W17" s="425"/>
      <c r="X17" s="425"/>
      <c r="Y17" s="425"/>
    </row>
    <row r="18" spans="1:25" ht="15.75" x14ac:dyDescent="0.25">
      <c r="A18" s="31">
        <v>5</v>
      </c>
      <c r="B18" s="32" t="s">
        <v>30</v>
      </c>
      <c r="C18" s="33"/>
      <c r="D18" s="12"/>
      <c r="E18" s="214"/>
      <c r="F18" s="309"/>
      <c r="G18" s="309"/>
      <c r="H18" s="34"/>
      <c r="I18" s="35"/>
      <c r="J18" s="35"/>
      <c r="K18" s="36"/>
      <c r="L18" s="426"/>
      <c r="M18" s="427"/>
      <c r="N18" s="427"/>
      <c r="O18" s="427"/>
      <c r="P18" s="427"/>
      <c r="Q18" s="428"/>
      <c r="R18" s="429" t="e">
        <f>#REF!-#REF!</f>
        <v>#REF!</v>
      </c>
      <c r="S18" s="428"/>
      <c r="T18" s="428"/>
      <c r="U18" s="428"/>
      <c r="V18" s="389">
        <v>24</v>
      </c>
      <c r="W18" s="389"/>
      <c r="X18" s="389"/>
      <c r="Y18" s="389"/>
    </row>
    <row r="19" spans="1:25" ht="15.75" x14ac:dyDescent="0.25">
      <c r="A19" s="37" t="s">
        <v>31</v>
      </c>
      <c r="B19" s="38" t="s">
        <v>32</v>
      </c>
      <c r="C19" s="39"/>
      <c r="D19" s="12"/>
      <c r="E19" s="214"/>
      <c r="F19" s="309"/>
      <c r="G19" s="309"/>
      <c r="H19" s="34"/>
      <c r="I19" s="35"/>
      <c r="J19" s="35"/>
      <c r="K19" s="36"/>
      <c r="L19" s="426"/>
      <c r="M19" s="427"/>
      <c r="N19" s="427"/>
      <c r="O19" s="427"/>
      <c r="P19" s="427"/>
      <c r="Q19" s="428"/>
      <c r="R19" s="429" t="e">
        <f>#REF!-#REF!</f>
        <v>#REF!</v>
      </c>
      <c r="S19" s="428"/>
      <c r="T19" s="428"/>
      <c r="U19" s="430">
        <f>E20-H20</f>
        <v>18</v>
      </c>
      <c r="V19" s="389"/>
      <c r="W19" s="389"/>
      <c r="X19" s="389"/>
      <c r="Y19" s="389"/>
    </row>
    <row r="20" spans="1:25" ht="47.25" x14ac:dyDescent="0.25">
      <c r="A20" s="37" t="s">
        <v>33</v>
      </c>
      <c r="B20" s="38" t="s">
        <v>34</v>
      </c>
      <c r="C20" s="40" t="s">
        <v>35</v>
      </c>
      <c r="D20" s="310">
        <f>D21+D24+D28+SUM(D31:D36)+D33+D46</f>
        <v>28903.277399999999</v>
      </c>
      <c r="E20" s="41">
        <f>E21+E24+E27+E28+SUM(E31:E36)+E33+E46</f>
        <v>18655.3</v>
      </c>
      <c r="F20" s="310">
        <f>F21+F24+F27+F28+SUM(F31:F36)</f>
        <v>18571.8</v>
      </c>
      <c r="G20" s="310">
        <f>E20</f>
        <v>18655.3</v>
      </c>
      <c r="H20" s="41">
        <f>H21+H24+H27+H28+SUM(H31:H36)+H33+H46</f>
        <v>18637.3</v>
      </c>
      <c r="I20" s="35"/>
      <c r="J20" s="107">
        <f>F20/E20*100</f>
        <v>99.552406018664939</v>
      </c>
      <c r="K20" s="43"/>
      <c r="L20" s="431"/>
      <c r="M20" s="432"/>
      <c r="N20" s="432"/>
      <c r="O20" s="432"/>
      <c r="P20" s="432"/>
      <c r="Q20" s="433"/>
      <c r="R20" s="434" t="e">
        <f>#REF!-#REF!</f>
        <v>#REF!</v>
      </c>
      <c r="S20" s="433"/>
      <c r="T20" s="433"/>
      <c r="U20" s="435">
        <f>H21+H24+H27+H28+H31+H32+H33+H34+H35+H36</f>
        <v>18575.8</v>
      </c>
      <c r="V20" s="436">
        <v>17967.504165999999</v>
      </c>
      <c r="W20" s="437">
        <f>V20-H20</f>
        <v>-669.79583400000047</v>
      </c>
      <c r="X20" s="437">
        <v>12325</v>
      </c>
      <c r="Y20" s="436">
        <v>6289.8</v>
      </c>
    </row>
    <row r="21" spans="1:25" ht="15.75" x14ac:dyDescent="0.25">
      <c r="A21" s="44" t="s">
        <v>13</v>
      </c>
      <c r="B21" s="45" t="s">
        <v>36</v>
      </c>
      <c r="C21" s="46" t="s">
        <v>35</v>
      </c>
      <c r="D21" s="11">
        <v>120.61</v>
      </c>
      <c r="E21" s="47">
        <f>E22+E23</f>
        <v>139.5</v>
      </c>
      <c r="F21" s="11">
        <f>SUM(F22:F23)</f>
        <v>139.5</v>
      </c>
      <c r="G21" s="310">
        <f t="shared" ref="G21:G37" si="7">E21</f>
        <v>139.5</v>
      </c>
      <c r="H21" s="47">
        <f>H22+H23</f>
        <v>139.5</v>
      </c>
      <c r="I21" s="35">
        <f>H21/D21*100</f>
        <v>115.66205123953237</v>
      </c>
      <c r="J21" s="107">
        <f>F21/E21*100</f>
        <v>100</v>
      </c>
      <c r="K21" s="36"/>
      <c r="L21" s="426"/>
      <c r="M21" s="427"/>
      <c r="N21" s="427"/>
      <c r="O21" s="427"/>
      <c r="P21" s="427"/>
      <c r="Q21" s="428"/>
      <c r="R21" s="429" t="e">
        <f>#REF!-#REF!</f>
        <v>#REF!</v>
      </c>
      <c r="S21" s="428"/>
      <c r="T21" s="428"/>
      <c r="U21" s="428"/>
      <c r="V21" s="389"/>
      <c r="W21" s="438">
        <f>V20-E20</f>
        <v>-687.79583400000047</v>
      </c>
      <c r="X21" s="438"/>
      <c r="Y21" s="389"/>
    </row>
    <row r="22" spans="1:25" ht="15.75" x14ac:dyDescent="0.25">
      <c r="A22" s="44" t="s">
        <v>37</v>
      </c>
      <c r="B22" s="48" t="s">
        <v>38</v>
      </c>
      <c r="C22" s="46" t="s">
        <v>39</v>
      </c>
      <c r="D22" s="11">
        <v>47</v>
      </c>
      <c r="E22" s="47">
        <f>31+14.5</f>
        <v>45.5</v>
      </c>
      <c r="F22" s="51">
        <f>E22</f>
        <v>45.5</v>
      </c>
      <c r="G22" s="310">
        <f t="shared" si="7"/>
        <v>45.5</v>
      </c>
      <c r="H22" s="49">
        <f>E22</f>
        <v>45.5</v>
      </c>
      <c r="I22" s="35">
        <f>H22/D22*100</f>
        <v>96.808510638297875</v>
      </c>
      <c r="J22" s="107">
        <f t="shared" ref="J22:J24" si="8">F22/E22*100</f>
        <v>100</v>
      </c>
      <c r="K22" s="36"/>
      <c r="L22" s="426"/>
      <c r="M22" s="427"/>
      <c r="N22" s="427"/>
      <c r="O22" s="427"/>
      <c r="P22" s="427"/>
      <c r="Q22" s="428"/>
      <c r="R22" s="429" t="e">
        <f>#REF!-#REF!</f>
        <v>#REF!</v>
      </c>
      <c r="S22" s="428"/>
      <c r="T22" s="428"/>
      <c r="U22" s="428"/>
      <c r="V22" s="389"/>
      <c r="W22" s="389"/>
      <c r="X22" s="389"/>
      <c r="Y22" s="389"/>
    </row>
    <row r="23" spans="1:25" ht="15.75" x14ac:dyDescent="0.25">
      <c r="A23" s="44" t="s">
        <v>37</v>
      </c>
      <c r="B23" s="48" t="s">
        <v>40</v>
      </c>
      <c r="C23" s="46" t="s">
        <v>39</v>
      </c>
      <c r="D23" s="11">
        <f>D21*77%</f>
        <v>92.869700000000009</v>
      </c>
      <c r="E23" s="47">
        <f>74+20</f>
        <v>94</v>
      </c>
      <c r="F23" s="11">
        <f>74+20</f>
        <v>94</v>
      </c>
      <c r="G23" s="310">
        <f t="shared" si="7"/>
        <v>94</v>
      </c>
      <c r="H23" s="47">
        <f>74+20</f>
        <v>94</v>
      </c>
      <c r="I23" s="35"/>
      <c r="J23" s="107">
        <f t="shared" si="8"/>
        <v>100</v>
      </c>
      <c r="K23" s="36"/>
      <c r="L23" s="426"/>
      <c r="M23" s="427"/>
      <c r="N23" s="427"/>
      <c r="O23" s="427"/>
      <c r="P23" s="427"/>
      <c r="Q23" s="428"/>
      <c r="R23" s="429" t="e">
        <f>#REF!-#REF!</f>
        <v>#REF!</v>
      </c>
      <c r="S23" s="428"/>
      <c r="T23" s="428"/>
      <c r="U23" s="428"/>
      <c r="V23" s="389"/>
      <c r="W23" s="389"/>
      <c r="X23" s="389"/>
      <c r="Y23" s="389"/>
    </row>
    <row r="24" spans="1:25" ht="15.75" x14ac:dyDescent="0.25">
      <c r="A24" s="44" t="s">
        <v>13</v>
      </c>
      <c r="B24" s="45" t="s">
        <v>41</v>
      </c>
      <c r="C24" s="46" t="s">
        <v>35</v>
      </c>
      <c r="D24" s="11">
        <v>72</v>
      </c>
      <c r="E24" s="47">
        <v>65</v>
      </c>
      <c r="F24" s="11">
        <f>SUM(F25:F26)</f>
        <v>47</v>
      </c>
      <c r="G24" s="310">
        <f t="shared" si="7"/>
        <v>65</v>
      </c>
      <c r="H24" s="47">
        <f>H25+H26</f>
        <v>47</v>
      </c>
      <c r="I24" s="35">
        <f>H24/D24*100</f>
        <v>65.277777777777786</v>
      </c>
      <c r="J24" s="107">
        <f t="shared" si="8"/>
        <v>72.307692307692307</v>
      </c>
      <c r="K24" s="36"/>
      <c r="L24" s="426"/>
      <c r="M24" s="427"/>
      <c r="N24" s="427"/>
      <c r="O24" s="427"/>
      <c r="P24" s="427"/>
      <c r="Q24" s="428"/>
      <c r="R24" s="429" t="e">
        <f>#REF!-#REF!</f>
        <v>#REF!</v>
      </c>
      <c r="S24" s="428"/>
      <c r="T24" s="428"/>
      <c r="U24" s="428"/>
      <c r="V24" s="389" t="s">
        <v>42</v>
      </c>
      <c r="W24" s="389"/>
      <c r="X24" s="389"/>
      <c r="Y24" s="389"/>
    </row>
    <row r="25" spans="1:25" ht="15.75" x14ac:dyDescent="0.25">
      <c r="A25" s="44" t="s">
        <v>37</v>
      </c>
      <c r="B25" s="50" t="s">
        <v>43</v>
      </c>
      <c r="C25" s="46" t="s">
        <v>39</v>
      </c>
      <c r="D25" s="11"/>
      <c r="E25" s="47">
        <v>18</v>
      </c>
      <c r="F25" s="11">
        <v>0</v>
      </c>
      <c r="G25" s="310">
        <f t="shared" si="7"/>
        <v>18</v>
      </c>
      <c r="H25" s="51">
        <f>E2</f>
        <v>0</v>
      </c>
      <c r="I25" s="35"/>
      <c r="J25" s="107"/>
      <c r="K25" s="52"/>
      <c r="L25" s="439"/>
      <c r="M25" s="427"/>
      <c r="N25" s="427"/>
      <c r="O25" s="427"/>
      <c r="P25" s="427"/>
      <c r="Q25" s="428"/>
      <c r="R25" s="429" t="e">
        <f>#REF!-#REF!</f>
        <v>#REF!</v>
      </c>
      <c r="S25" s="428"/>
      <c r="T25" s="428"/>
      <c r="U25" s="428"/>
      <c r="V25" s="389"/>
      <c r="W25" s="389"/>
      <c r="X25" s="389"/>
      <c r="Y25" s="389"/>
    </row>
    <row r="26" spans="1:25" ht="15.75" x14ac:dyDescent="0.25">
      <c r="A26" s="44" t="s">
        <v>37</v>
      </c>
      <c r="B26" s="50" t="s">
        <v>44</v>
      </c>
      <c r="C26" s="46" t="s">
        <v>39</v>
      </c>
      <c r="D26" s="11">
        <v>72</v>
      </c>
      <c r="E26" s="47">
        <v>47</v>
      </c>
      <c r="F26" s="11">
        <f>E26</f>
        <v>47</v>
      </c>
      <c r="G26" s="310">
        <f t="shared" si="7"/>
        <v>47</v>
      </c>
      <c r="H26" s="53">
        <f>E26</f>
        <v>47</v>
      </c>
      <c r="I26" s="35">
        <f>H26/D26*100</f>
        <v>65.277777777777786</v>
      </c>
      <c r="J26" s="107">
        <f>F26/E26*100</f>
        <v>100</v>
      </c>
      <c r="K26" s="52"/>
      <c r="L26" s="439"/>
      <c r="M26" s="427"/>
      <c r="N26" s="427"/>
      <c r="O26" s="427"/>
      <c r="P26" s="427"/>
      <c r="Q26" s="428"/>
      <c r="R26" s="429" t="e">
        <f>#REF!-#REF!</f>
        <v>#REF!</v>
      </c>
      <c r="S26" s="428"/>
      <c r="T26" s="428"/>
      <c r="U26" s="428"/>
      <c r="V26" s="389"/>
      <c r="W26" s="389"/>
      <c r="X26" s="438">
        <f>H28+W20</f>
        <v>15502.204166</v>
      </c>
      <c r="Y26" s="389"/>
    </row>
    <row r="27" spans="1:25" ht="15.75" x14ac:dyDescent="0.25">
      <c r="A27" s="54" t="s">
        <v>13</v>
      </c>
      <c r="B27" s="50" t="s">
        <v>45</v>
      </c>
      <c r="C27" s="46" t="s">
        <v>39</v>
      </c>
      <c r="D27" s="11">
        <v>7</v>
      </c>
      <c r="E27" s="47">
        <f>0.5+1</f>
        <v>1.5</v>
      </c>
      <c r="F27" s="11">
        <f t="shared" ref="F27:F29" si="9">E27</f>
        <v>1.5</v>
      </c>
      <c r="G27" s="310">
        <f t="shared" si="7"/>
        <v>1.5</v>
      </c>
      <c r="H27" s="53">
        <f>E27</f>
        <v>1.5</v>
      </c>
      <c r="I27" s="35">
        <f>H27/D27*100</f>
        <v>21.428571428571427</v>
      </c>
      <c r="J27" s="107">
        <f>F27/E27*100</f>
        <v>100</v>
      </c>
      <c r="K27" s="52"/>
      <c r="L27" s="439"/>
      <c r="M27" s="427"/>
      <c r="N27" s="427"/>
      <c r="O27" s="427"/>
      <c r="P27" s="427"/>
      <c r="Q27" s="428"/>
      <c r="R27" s="429" t="e">
        <f>#REF!-#REF!</f>
        <v>#REF!</v>
      </c>
      <c r="S27" s="428"/>
      <c r="T27" s="428"/>
      <c r="U27" s="428"/>
      <c r="V27" s="389"/>
      <c r="W27" s="389"/>
      <c r="X27" s="389"/>
      <c r="Y27" s="389"/>
    </row>
    <row r="28" spans="1:25" ht="15.75" x14ac:dyDescent="0.25">
      <c r="A28" s="44" t="s">
        <v>13</v>
      </c>
      <c r="B28" s="45" t="s">
        <v>46</v>
      </c>
      <c r="C28" s="46" t="s">
        <v>35</v>
      </c>
      <c r="D28" s="11">
        <f>D29+D30</f>
        <v>24905.7</v>
      </c>
      <c r="E28" s="489">
        <v>16172</v>
      </c>
      <c r="F28" s="11">
        <f t="shared" si="9"/>
        <v>16172</v>
      </c>
      <c r="G28" s="310">
        <f t="shared" si="7"/>
        <v>16172</v>
      </c>
      <c r="H28" s="47">
        <f>E28</f>
        <v>16172</v>
      </c>
      <c r="I28" s="35">
        <f>H28/D28*100</f>
        <v>64.93292700064643</v>
      </c>
      <c r="J28" s="107"/>
      <c r="K28" s="52"/>
      <c r="L28" s="439"/>
      <c r="M28" s="427"/>
      <c r="N28" s="427"/>
      <c r="O28" s="427"/>
      <c r="P28" s="427"/>
      <c r="Q28" s="428"/>
      <c r="R28" s="429" t="e">
        <f>#REF!-#REF!</f>
        <v>#REF!</v>
      </c>
      <c r="S28" s="428"/>
      <c r="T28" s="428"/>
      <c r="U28" s="430"/>
      <c r="V28" s="389" t="s">
        <v>42</v>
      </c>
      <c r="W28" s="389"/>
      <c r="X28" s="438">
        <f>E30-H28</f>
        <v>0</v>
      </c>
      <c r="Y28" s="389" t="s">
        <v>47</v>
      </c>
    </row>
    <row r="29" spans="1:25" ht="15.75" x14ac:dyDescent="0.25">
      <c r="A29" s="44" t="s">
        <v>37</v>
      </c>
      <c r="B29" s="50" t="s">
        <v>43</v>
      </c>
      <c r="C29" s="46" t="s">
        <v>39</v>
      </c>
      <c r="D29" s="11">
        <v>186</v>
      </c>
      <c r="E29" s="216"/>
      <c r="F29" s="11">
        <f t="shared" si="9"/>
        <v>0</v>
      </c>
      <c r="G29" s="310">
        <f t="shared" si="7"/>
        <v>0</v>
      </c>
      <c r="H29" s="53"/>
      <c r="I29" s="35"/>
      <c r="J29" s="107"/>
      <c r="K29" s="52"/>
      <c r="L29" s="439"/>
      <c r="M29" s="427"/>
      <c r="N29" s="427"/>
      <c r="O29" s="427"/>
      <c r="P29" s="427"/>
      <c r="Q29" s="428"/>
      <c r="R29" s="429" t="e">
        <f>#REF!-#REF!</f>
        <v>#REF!</v>
      </c>
      <c r="S29" s="428"/>
      <c r="T29" s="428"/>
      <c r="U29" s="428"/>
      <c r="V29" s="389"/>
      <c r="W29" s="389"/>
      <c r="X29" s="389"/>
      <c r="Y29" s="389"/>
    </row>
    <row r="30" spans="1:25" ht="15.75" x14ac:dyDescent="0.25">
      <c r="A30" s="44" t="s">
        <v>37</v>
      </c>
      <c r="B30" s="50" t="s">
        <v>44</v>
      </c>
      <c r="C30" s="46" t="s">
        <v>39</v>
      </c>
      <c r="D30" s="11">
        <v>24719.7</v>
      </c>
      <c r="E30" s="47">
        <f>E28</f>
        <v>16172</v>
      </c>
      <c r="F30" s="11">
        <f>E30</f>
        <v>16172</v>
      </c>
      <c r="G30" s="310">
        <f t="shared" si="7"/>
        <v>16172</v>
      </c>
      <c r="H30" s="53">
        <f>E30</f>
        <v>16172</v>
      </c>
      <c r="I30" s="35">
        <f>H30/D30*100</f>
        <v>65.42150592442465</v>
      </c>
      <c r="J30" s="107">
        <f>F30/E30%</f>
        <v>100</v>
      </c>
      <c r="K30" s="52"/>
      <c r="L30" s="439"/>
      <c r="M30" s="427"/>
      <c r="N30" s="427"/>
      <c r="O30" s="427"/>
      <c r="P30" s="427"/>
      <c r="Q30" s="428"/>
      <c r="R30" s="429" t="e">
        <f>#REF!-#REF!</f>
        <v>#REF!</v>
      </c>
      <c r="S30" s="428">
        <v>678.82999999999811</v>
      </c>
      <c r="T30" s="428"/>
      <c r="U30" s="428"/>
      <c r="V30" s="438"/>
      <c r="W30" s="389"/>
      <c r="X30" s="389"/>
      <c r="Y30" s="389"/>
    </row>
    <row r="31" spans="1:25" ht="15.75" x14ac:dyDescent="0.25">
      <c r="A31" s="44" t="s">
        <v>13</v>
      </c>
      <c r="B31" s="45" t="s">
        <v>48</v>
      </c>
      <c r="C31" s="46" t="s">
        <v>35</v>
      </c>
      <c r="D31" s="11">
        <v>1708.69</v>
      </c>
      <c r="E31" s="47">
        <f>605+237</f>
        <v>842</v>
      </c>
      <c r="F31" s="11">
        <f>E31</f>
        <v>842</v>
      </c>
      <c r="G31" s="310">
        <f t="shared" si="7"/>
        <v>842</v>
      </c>
      <c r="H31" s="53">
        <f>E31</f>
        <v>842</v>
      </c>
      <c r="I31" s="35">
        <f>H31/D31*100</f>
        <v>49.27751669407558</v>
      </c>
      <c r="J31" s="107">
        <f t="shared" ref="J31" si="10">F31/E31%</f>
        <v>100</v>
      </c>
      <c r="K31" s="52"/>
      <c r="L31" s="439"/>
      <c r="M31" s="427"/>
      <c r="N31" s="427"/>
      <c r="O31" s="427"/>
      <c r="P31" s="427"/>
      <c r="Q31" s="428"/>
      <c r="R31" s="429" t="e">
        <f>#REF!-#REF!</f>
        <v>#REF!</v>
      </c>
      <c r="S31" s="428"/>
      <c r="T31" s="428"/>
      <c r="U31" s="428"/>
      <c r="V31" s="389" t="s">
        <v>42</v>
      </c>
      <c r="W31" s="389"/>
      <c r="X31" s="438"/>
      <c r="Y31" s="389"/>
    </row>
    <row r="32" spans="1:25" ht="15.75" x14ac:dyDescent="0.25">
      <c r="A32" s="44" t="s">
        <v>13</v>
      </c>
      <c r="B32" s="45" t="s">
        <v>49</v>
      </c>
      <c r="C32" s="46" t="s">
        <v>35</v>
      </c>
      <c r="D32" s="11">
        <v>71.115479999999991</v>
      </c>
      <c r="E32" s="47">
        <f>33+31</f>
        <v>64</v>
      </c>
      <c r="F32" s="11">
        <v>70</v>
      </c>
      <c r="G32" s="310">
        <f t="shared" si="7"/>
        <v>64</v>
      </c>
      <c r="H32" s="53">
        <v>74</v>
      </c>
      <c r="I32" s="35"/>
      <c r="J32" s="107">
        <f>F32/E32%</f>
        <v>109.375</v>
      </c>
      <c r="K32" s="52"/>
      <c r="L32" s="439"/>
      <c r="M32" s="427"/>
      <c r="N32" s="427"/>
      <c r="O32" s="427"/>
      <c r="P32" s="427"/>
      <c r="Q32" s="428"/>
      <c r="R32" s="429" t="e">
        <f>#REF!-#REF!</f>
        <v>#REF!</v>
      </c>
      <c r="S32" s="428"/>
      <c r="T32" s="428"/>
      <c r="U32" s="428"/>
      <c r="V32" s="389" t="s">
        <v>42</v>
      </c>
      <c r="W32" s="389"/>
      <c r="X32" s="389"/>
      <c r="Y32" s="389"/>
    </row>
    <row r="33" spans="1:25" ht="31.5" x14ac:dyDescent="0.25">
      <c r="A33" s="44" t="s">
        <v>13</v>
      </c>
      <c r="B33" s="55" t="s">
        <v>50</v>
      </c>
      <c r="C33" s="46" t="s">
        <v>35</v>
      </c>
      <c r="D33" s="354">
        <f>142.23096+7.65</f>
        <v>149.88096000000002</v>
      </c>
      <c r="E33" s="56">
        <f>6+18</f>
        <v>24</v>
      </c>
      <c r="F33" s="11">
        <f t="shared" ref="F33:F34" si="11">E33</f>
        <v>24</v>
      </c>
      <c r="G33" s="310">
        <f t="shared" si="7"/>
        <v>24</v>
      </c>
      <c r="H33" s="57">
        <v>24</v>
      </c>
      <c r="I33" s="35">
        <f>H33/D33*100</f>
        <v>16.012707684818668</v>
      </c>
      <c r="J33" s="107">
        <f t="shared" ref="J33:J37" si="12">F33/E33%</f>
        <v>100</v>
      </c>
      <c r="K33" s="52"/>
      <c r="L33" s="439"/>
      <c r="M33" s="427"/>
      <c r="N33" s="427"/>
      <c r="O33" s="427"/>
      <c r="P33" s="427"/>
      <c r="Q33" s="428"/>
      <c r="R33" s="429" t="e">
        <f>#REF!-#REF!</f>
        <v>#REF!</v>
      </c>
      <c r="S33" s="428"/>
      <c r="T33" s="428"/>
      <c r="U33" s="428"/>
      <c r="V33" s="389" t="s">
        <v>42</v>
      </c>
      <c r="W33" s="389"/>
      <c r="X33" s="389"/>
      <c r="Y33" s="440">
        <f>SUM(Y34:Y36)</f>
        <v>517.59999999999991</v>
      </c>
    </row>
    <row r="34" spans="1:25" ht="15.75" x14ac:dyDescent="0.25">
      <c r="A34" s="54" t="s">
        <v>13</v>
      </c>
      <c r="B34" s="45" t="s">
        <v>51</v>
      </c>
      <c r="C34" s="46" t="s">
        <v>39</v>
      </c>
      <c r="D34" s="11">
        <v>975.6</v>
      </c>
      <c r="E34" s="47">
        <f>460.6+223</f>
        <v>683.6</v>
      </c>
      <c r="F34" s="11">
        <f t="shared" si="11"/>
        <v>683.6</v>
      </c>
      <c r="G34" s="310">
        <f t="shared" si="7"/>
        <v>683.6</v>
      </c>
      <c r="H34" s="47">
        <f>460.6+223</f>
        <v>683.6</v>
      </c>
      <c r="I34" s="35">
        <f>H34/D34*100</f>
        <v>70.069700697006979</v>
      </c>
      <c r="J34" s="107">
        <f t="shared" si="12"/>
        <v>100</v>
      </c>
      <c r="K34" s="52"/>
      <c r="L34" s="439"/>
      <c r="M34" s="427"/>
      <c r="N34" s="427"/>
      <c r="O34" s="427"/>
      <c r="P34" s="427"/>
      <c r="Q34" s="428"/>
      <c r="R34" s="429" t="e">
        <f>#REF!-#REF!</f>
        <v>#REF!</v>
      </c>
      <c r="S34" s="428"/>
      <c r="T34" s="428"/>
      <c r="U34" s="428"/>
      <c r="V34" s="389"/>
      <c r="W34" s="389"/>
      <c r="X34" s="389">
        <v>975.6</v>
      </c>
      <c r="Y34" s="440">
        <f>X34-H34</f>
        <v>292</v>
      </c>
    </row>
    <row r="35" spans="1:25" ht="15.75" x14ac:dyDescent="0.25">
      <c r="A35" s="54" t="s">
        <v>13</v>
      </c>
      <c r="B35" s="45" t="s">
        <v>52</v>
      </c>
      <c r="C35" s="46"/>
      <c r="D35" s="11">
        <v>10</v>
      </c>
      <c r="E35" s="47">
        <v>30</v>
      </c>
      <c r="F35" s="11">
        <f>30-10</f>
        <v>20</v>
      </c>
      <c r="G35" s="310">
        <f t="shared" si="7"/>
        <v>30</v>
      </c>
      <c r="H35" s="47">
        <f>30-10</f>
        <v>20</v>
      </c>
      <c r="I35" s="35">
        <f>H35/D35*100</f>
        <v>200</v>
      </c>
      <c r="J35" s="107">
        <f t="shared" si="12"/>
        <v>66.666666666666671</v>
      </c>
      <c r="K35" s="52"/>
      <c r="L35" s="439"/>
      <c r="M35" s="427"/>
      <c r="N35" s="427"/>
      <c r="O35" s="427"/>
      <c r="P35" s="427"/>
      <c r="Q35" s="428"/>
      <c r="R35" s="429" t="e">
        <f>#REF!-#REF!</f>
        <v>#REF!</v>
      </c>
      <c r="S35" s="428"/>
      <c r="T35" s="428"/>
      <c r="U35" s="428"/>
      <c r="V35" s="389"/>
      <c r="W35" s="389"/>
      <c r="X35" s="389"/>
      <c r="Y35" s="440"/>
    </row>
    <row r="36" spans="1:25" ht="15.75" x14ac:dyDescent="0.25">
      <c r="A36" s="44" t="s">
        <v>13</v>
      </c>
      <c r="B36" s="55" t="s">
        <v>53</v>
      </c>
      <c r="C36" s="46" t="s">
        <v>35</v>
      </c>
      <c r="D36" s="11">
        <v>697.8</v>
      </c>
      <c r="E36" s="47">
        <f>243.4+328.8</f>
        <v>572.20000000000005</v>
      </c>
      <c r="F36" s="11">
        <f>E36</f>
        <v>572.20000000000005</v>
      </c>
      <c r="G36" s="310">
        <f t="shared" si="7"/>
        <v>572.20000000000005</v>
      </c>
      <c r="H36" s="47">
        <f>243.4+328.8</f>
        <v>572.20000000000005</v>
      </c>
      <c r="I36" s="35">
        <f>H36/D36*100</f>
        <v>82.000573230151915</v>
      </c>
      <c r="J36" s="107">
        <f t="shared" si="12"/>
        <v>100</v>
      </c>
      <c r="K36" s="58"/>
      <c r="L36" s="441"/>
      <c r="M36" s="442"/>
      <c r="N36" s="442"/>
      <c r="O36" s="442"/>
      <c r="P36" s="442"/>
      <c r="Q36" s="443"/>
      <c r="R36" s="429" t="e">
        <f>#REF!-#REF!</f>
        <v>#REF!</v>
      </c>
      <c r="S36" s="443"/>
      <c r="T36" s="443"/>
      <c r="U36" s="443"/>
      <c r="V36" s="444"/>
      <c r="W36" s="444"/>
      <c r="X36" s="444">
        <v>797.8</v>
      </c>
      <c r="Y36" s="440">
        <f>X36-H36</f>
        <v>225.59999999999991</v>
      </c>
    </row>
    <row r="37" spans="1:25" ht="15.75" x14ac:dyDescent="0.25">
      <c r="A37" s="44"/>
      <c r="B37" s="59" t="s">
        <v>54</v>
      </c>
      <c r="C37" s="46" t="s">
        <v>39</v>
      </c>
      <c r="D37" s="11"/>
      <c r="E37" s="47">
        <f>44.4+34</f>
        <v>78.400000000000006</v>
      </c>
      <c r="F37" s="11">
        <f>E37</f>
        <v>78.400000000000006</v>
      </c>
      <c r="G37" s="310">
        <f t="shared" si="7"/>
        <v>78.400000000000006</v>
      </c>
      <c r="H37" s="12">
        <f>E37</f>
        <v>78.400000000000006</v>
      </c>
      <c r="I37" s="35"/>
      <c r="J37" s="107">
        <f t="shared" si="12"/>
        <v>100</v>
      </c>
      <c r="K37" s="58"/>
      <c r="L37" s="441"/>
      <c r="M37" s="442"/>
      <c r="N37" s="442"/>
      <c r="O37" s="442"/>
      <c r="P37" s="442"/>
      <c r="Q37" s="443"/>
      <c r="R37" s="429" t="e">
        <f>#REF!-#REF!</f>
        <v>#REF!</v>
      </c>
      <c r="S37" s="443"/>
      <c r="T37" s="443"/>
      <c r="U37" s="443"/>
      <c r="V37" s="444"/>
      <c r="W37" s="444"/>
      <c r="X37" s="444"/>
      <c r="Y37" s="444"/>
    </row>
    <row r="38" spans="1:25" ht="31.5" x14ac:dyDescent="0.25">
      <c r="A38" s="37" t="s">
        <v>55</v>
      </c>
      <c r="B38" s="38" t="s">
        <v>56</v>
      </c>
      <c r="C38" s="39"/>
      <c r="D38" s="355"/>
      <c r="E38" s="214"/>
      <c r="F38" s="309"/>
      <c r="G38" s="309"/>
      <c r="H38" s="60">
        <v>0</v>
      </c>
      <c r="I38" s="61"/>
      <c r="J38" s="507"/>
      <c r="K38" s="58"/>
      <c r="L38" s="441"/>
      <c r="M38" s="442"/>
      <c r="N38" s="442"/>
      <c r="O38" s="442"/>
      <c r="P38" s="442"/>
      <c r="Q38" s="443"/>
      <c r="R38" s="429" t="e">
        <f>#REF!-#REF!</f>
        <v>#REF!</v>
      </c>
      <c r="S38" s="443"/>
      <c r="T38" s="443"/>
      <c r="U38" s="443"/>
      <c r="V38" s="444"/>
      <c r="W38" s="444"/>
      <c r="X38" s="444"/>
      <c r="Y38" s="444"/>
    </row>
    <row r="39" spans="1:25" ht="31.5" x14ac:dyDescent="0.25">
      <c r="A39" s="44" t="s">
        <v>13</v>
      </c>
      <c r="B39" s="62" t="s">
        <v>57</v>
      </c>
      <c r="C39" s="46" t="s">
        <v>58</v>
      </c>
      <c r="D39" s="11">
        <f>4.7*(D21+D32)</f>
        <v>901.10975600000006</v>
      </c>
      <c r="E39" s="47">
        <f>E21*4.42+E32*5.33</f>
        <v>957.71</v>
      </c>
      <c r="F39" s="11">
        <f>F22*6.5+6.45*F32</f>
        <v>747.25</v>
      </c>
      <c r="G39" s="11">
        <f>E39</f>
        <v>957.71</v>
      </c>
      <c r="H39" s="47">
        <f>H22*6.5+6.45*H32</f>
        <v>773.05</v>
      </c>
      <c r="I39" s="61"/>
      <c r="J39" s="507">
        <f>F39/E39*100</f>
        <v>78.024662998193605</v>
      </c>
      <c r="K39" s="58"/>
      <c r="L39" s="445" t="s">
        <v>244</v>
      </c>
      <c r="M39" s="442"/>
      <c r="N39" s="442"/>
      <c r="O39" s="442"/>
      <c r="P39" s="442"/>
      <c r="Q39" s="443"/>
      <c r="R39" s="429" t="e">
        <f>#REF!-#REF!</f>
        <v>#REF!</v>
      </c>
      <c r="S39" s="443"/>
      <c r="T39" s="443"/>
      <c r="U39" s="446">
        <f>(E21+E32)*4.7</f>
        <v>956.45</v>
      </c>
      <c r="V39" s="444"/>
      <c r="W39" s="444"/>
      <c r="X39" s="444"/>
      <c r="Y39" s="444">
        <f>3.5/2</f>
        <v>1.75</v>
      </c>
    </row>
    <row r="40" spans="1:25" ht="15.75" x14ac:dyDescent="0.25">
      <c r="A40" s="44" t="s">
        <v>13</v>
      </c>
      <c r="B40" s="62" t="s">
        <v>59</v>
      </c>
      <c r="C40" s="63" t="s">
        <v>39</v>
      </c>
      <c r="D40" s="11">
        <f>1.96*D24</f>
        <v>141.12</v>
      </c>
      <c r="E40" s="47">
        <f>1.96*E26</f>
        <v>92.12</v>
      </c>
      <c r="F40" s="11"/>
      <c r="G40" s="11">
        <f t="shared" ref="G40:G47" si="13">E40</f>
        <v>92.12</v>
      </c>
      <c r="H40" s="47"/>
      <c r="I40" s="61"/>
      <c r="J40" s="507">
        <f t="shared" ref="J40:J44" si="14">F40/E40*100</f>
        <v>0</v>
      </c>
      <c r="K40" s="58"/>
      <c r="L40" s="441"/>
      <c r="M40" s="442"/>
      <c r="N40" s="442"/>
      <c r="O40" s="442"/>
      <c r="P40" s="442"/>
      <c r="Q40" s="443"/>
      <c r="R40" s="429" t="e">
        <f>#REF!-#REF!</f>
        <v>#REF!</v>
      </c>
      <c r="S40" s="443"/>
      <c r="T40" s="443"/>
      <c r="U40" s="443"/>
      <c r="V40" s="444"/>
      <c r="W40" s="444"/>
      <c r="X40" s="444"/>
      <c r="Y40" s="444"/>
    </row>
    <row r="41" spans="1:25" ht="15.75" x14ac:dyDescent="0.25">
      <c r="A41" s="54" t="s">
        <v>13</v>
      </c>
      <c r="B41" s="62" t="s">
        <v>60</v>
      </c>
      <c r="C41" s="46" t="s">
        <v>39</v>
      </c>
      <c r="D41" s="11">
        <f>1.26*D28</f>
        <v>31381.182000000001</v>
      </c>
      <c r="E41" s="64">
        <v>19524.587249159998</v>
      </c>
      <c r="F41" s="64">
        <f>E41/8*2</f>
        <v>4881.1468122899996</v>
      </c>
      <c r="G41" s="11">
        <f t="shared" si="13"/>
        <v>19524.587249159998</v>
      </c>
      <c r="H41" s="47">
        <f>E41/8*3</f>
        <v>7321.720218434999</v>
      </c>
      <c r="I41" s="61"/>
      <c r="J41" s="507">
        <f t="shared" si="14"/>
        <v>25</v>
      </c>
      <c r="K41" s="58"/>
      <c r="L41" s="441"/>
      <c r="M41" s="442"/>
      <c r="N41" s="442"/>
      <c r="O41" s="442"/>
      <c r="P41" s="442"/>
      <c r="Q41" s="443"/>
      <c r="R41" s="429" t="e">
        <f>#REF!-#REF!</f>
        <v>#REF!</v>
      </c>
      <c r="S41" s="443"/>
      <c r="T41" s="443"/>
      <c r="U41" s="443"/>
      <c r="V41" s="447"/>
      <c r="W41" s="448"/>
      <c r="X41" s="444"/>
      <c r="Y41" s="444"/>
    </row>
    <row r="42" spans="1:25" ht="15.75" x14ac:dyDescent="0.25">
      <c r="A42" s="54" t="s">
        <v>13</v>
      </c>
      <c r="B42" s="62" t="s">
        <v>61</v>
      </c>
      <c r="C42" s="46" t="s">
        <v>39</v>
      </c>
      <c r="D42" s="11">
        <f>17*D31</f>
        <v>29047.73</v>
      </c>
      <c r="E42" s="47">
        <f>E31*25</f>
        <v>21050</v>
      </c>
      <c r="F42" s="11">
        <f>E42/6*3</f>
        <v>10525</v>
      </c>
      <c r="G42" s="11">
        <f t="shared" si="13"/>
        <v>21050</v>
      </c>
      <c r="H42" s="47">
        <f>E42/2</f>
        <v>10525</v>
      </c>
      <c r="I42" s="35">
        <f>H42/D42*100</f>
        <v>36.233468157408517</v>
      </c>
      <c r="J42" s="507">
        <f t="shared" si="14"/>
        <v>50</v>
      </c>
      <c r="K42" s="36"/>
      <c r="L42" s="426" t="s">
        <v>241</v>
      </c>
      <c r="M42" s="427"/>
      <c r="N42" s="427"/>
      <c r="O42" s="427"/>
      <c r="P42" s="427"/>
      <c r="Q42" s="428"/>
      <c r="R42" s="429" t="e">
        <f>#REF!-#REF!</f>
        <v>#REF!</v>
      </c>
      <c r="S42" s="428"/>
      <c r="T42" s="428"/>
      <c r="U42" s="428"/>
      <c r="V42" s="389"/>
      <c r="W42" s="389"/>
      <c r="X42" s="389"/>
      <c r="Y42" s="389"/>
    </row>
    <row r="43" spans="1:25" ht="15.75" x14ac:dyDescent="0.25">
      <c r="A43" s="65" t="s">
        <v>13</v>
      </c>
      <c r="B43" s="66" t="s">
        <v>52</v>
      </c>
      <c r="C43" s="46" t="s">
        <v>39</v>
      </c>
      <c r="D43" s="11">
        <f t="shared" ref="D43" si="15">68*D35</f>
        <v>680</v>
      </c>
      <c r="E43" s="47">
        <f>E35*37.1</f>
        <v>1113</v>
      </c>
      <c r="F43" s="11"/>
      <c r="G43" s="11">
        <f t="shared" si="13"/>
        <v>1113</v>
      </c>
      <c r="H43" s="47"/>
      <c r="I43" s="42">
        <f>H43/D43*100</f>
        <v>0</v>
      </c>
      <c r="J43" s="507">
        <f t="shared" si="14"/>
        <v>0</v>
      </c>
      <c r="K43" s="67"/>
      <c r="L43" s="449"/>
      <c r="M43" s="432"/>
      <c r="N43" s="432"/>
      <c r="O43" s="432"/>
      <c r="P43" s="432"/>
      <c r="Q43" s="433"/>
      <c r="R43" s="434" t="e">
        <f>#REF!-#REF!</f>
        <v>#REF!</v>
      </c>
      <c r="S43" s="433"/>
      <c r="T43" s="433"/>
      <c r="U43" s="433"/>
      <c r="V43" s="436"/>
      <c r="W43" s="436"/>
      <c r="X43" s="436"/>
      <c r="Y43" s="436"/>
    </row>
    <row r="44" spans="1:25" ht="15.75" x14ac:dyDescent="0.25">
      <c r="A44" s="65" t="s">
        <v>13</v>
      </c>
      <c r="B44" s="66" t="s">
        <v>53</v>
      </c>
      <c r="C44" s="46" t="s">
        <v>39</v>
      </c>
      <c r="D44" s="11">
        <f t="shared" ref="D44" si="16">10.33*D36</f>
        <v>7208.2739999999994</v>
      </c>
      <c r="E44" s="47">
        <f>10.33*E36</f>
        <v>5910.8260000000009</v>
      </c>
      <c r="F44" s="11">
        <f>E44/12*6</f>
        <v>2955.4130000000005</v>
      </c>
      <c r="G44" s="11">
        <f t="shared" si="13"/>
        <v>5910.8260000000009</v>
      </c>
      <c r="H44" s="53">
        <f>E44/12*7</f>
        <v>3447.9818333333342</v>
      </c>
      <c r="I44" s="35"/>
      <c r="J44" s="507">
        <f t="shared" si="14"/>
        <v>50</v>
      </c>
      <c r="K44" s="52"/>
      <c r="L44" s="439"/>
      <c r="M44" s="427"/>
      <c r="N44" s="427"/>
      <c r="O44" s="427"/>
      <c r="P44" s="427"/>
      <c r="Q44" s="428"/>
      <c r="R44" s="429" t="e">
        <f>#REF!-#REF!</f>
        <v>#REF!</v>
      </c>
      <c r="S44" s="428"/>
      <c r="T44" s="428"/>
      <c r="U44" s="428"/>
      <c r="V44" s="389"/>
      <c r="W44" s="389"/>
      <c r="X44" s="389"/>
      <c r="Y44" s="389"/>
    </row>
    <row r="45" spans="1:25" ht="15.75" x14ac:dyDescent="0.25">
      <c r="A45" s="37" t="s">
        <v>62</v>
      </c>
      <c r="B45" s="68" t="s">
        <v>63</v>
      </c>
      <c r="C45" s="40"/>
      <c r="D45" s="11">
        <v>42</v>
      </c>
      <c r="E45" s="47">
        <f>E46</f>
        <v>37.5</v>
      </c>
      <c r="F45" s="11">
        <f>F46</f>
        <v>37.5</v>
      </c>
      <c r="G45" s="11">
        <f t="shared" si="13"/>
        <v>37.5</v>
      </c>
      <c r="H45" s="53">
        <f>H46</f>
        <v>37.5</v>
      </c>
      <c r="I45" s="35"/>
      <c r="J45" s="107">
        <f t="shared" ref="J45:J46" si="17">H45/E45*100</f>
        <v>100</v>
      </c>
      <c r="K45" s="52"/>
      <c r="L45" s="439"/>
      <c r="M45" s="427"/>
      <c r="N45" s="427"/>
      <c r="O45" s="427"/>
      <c r="P45" s="427"/>
      <c r="Q45" s="428"/>
      <c r="R45" s="429" t="e">
        <f>#REF!-#REF!</f>
        <v>#REF!</v>
      </c>
      <c r="S45" s="428"/>
      <c r="T45" s="428"/>
      <c r="U45" s="428"/>
      <c r="V45" s="389"/>
      <c r="W45" s="389"/>
      <c r="X45" s="389"/>
      <c r="Y45" s="389"/>
    </row>
    <row r="46" spans="1:25" ht="31.5" x14ac:dyDescent="0.25">
      <c r="A46" s="44" t="s">
        <v>13</v>
      </c>
      <c r="B46" s="55" t="s">
        <v>64</v>
      </c>
      <c r="C46" s="46" t="s">
        <v>35</v>
      </c>
      <c r="D46" s="11">
        <v>42</v>
      </c>
      <c r="E46" s="47">
        <f>14+23.5</f>
        <v>37.5</v>
      </c>
      <c r="F46" s="11">
        <f>E46</f>
        <v>37.5</v>
      </c>
      <c r="G46" s="11">
        <f t="shared" si="13"/>
        <v>37.5</v>
      </c>
      <c r="H46" s="47">
        <f>14+23.5</f>
        <v>37.5</v>
      </c>
      <c r="I46" s="35">
        <f>H46/D46*100</f>
        <v>89.285714285714292</v>
      </c>
      <c r="J46" s="107">
        <f t="shared" si="17"/>
        <v>100</v>
      </c>
      <c r="K46" s="52"/>
      <c r="L46" s="439"/>
      <c r="M46" s="427"/>
      <c r="N46" s="427"/>
      <c r="O46" s="427"/>
      <c r="P46" s="427"/>
      <c r="Q46" s="428"/>
      <c r="R46" s="429" t="e">
        <f>#REF!-#REF!</f>
        <v>#REF!</v>
      </c>
      <c r="S46" s="428"/>
      <c r="T46" s="428"/>
      <c r="U46" s="428"/>
      <c r="V46" s="389"/>
      <c r="W46" s="389"/>
      <c r="X46" s="389"/>
      <c r="Y46" s="389"/>
    </row>
    <row r="47" spans="1:25" ht="15.75" x14ac:dyDescent="0.25">
      <c r="A47" s="37" t="s">
        <v>65</v>
      </c>
      <c r="B47" s="68" t="s">
        <v>66</v>
      </c>
      <c r="C47" s="69" t="s">
        <v>35</v>
      </c>
      <c r="D47" s="356"/>
      <c r="E47" s="70">
        <f>65+65</f>
        <v>130</v>
      </c>
      <c r="F47" s="311">
        <f>E47</f>
        <v>130</v>
      </c>
      <c r="G47" s="25">
        <f t="shared" si="13"/>
        <v>130</v>
      </c>
      <c r="H47" s="71">
        <f t="shared" ref="H47:J47" si="18">65+65</f>
        <v>130</v>
      </c>
      <c r="I47" s="70">
        <f t="shared" si="18"/>
        <v>130</v>
      </c>
      <c r="J47" s="508">
        <f t="shared" si="18"/>
        <v>130</v>
      </c>
      <c r="K47" s="52"/>
      <c r="L47" s="439"/>
      <c r="M47" s="427"/>
      <c r="N47" s="427"/>
      <c r="O47" s="427"/>
      <c r="P47" s="427"/>
      <c r="Q47" s="428"/>
      <c r="R47" s="429" t="e">
        <f>#REF!-#REF!</f>
        <v>#REF!</v>
      </c>
      <c r="S47" s="428"/>
      <c r="T47" s="428"/>
      <c r="U47" s="428"/>
      <c r="V47" s="389"/>
      <c r="W47" s="389"/>
      <c r="X47" s="389"/>
      <c r="Y47" s="389"/>
    </row>
    <row r="48" spans="1:25" ht="15.75" x14ac:dyDescent="0.25">
      <c r="A48" s="37">
        <v>5.4</v>
      </c>
      <c r="B48" s="38" t="s">
        <v>67</v>
      </c>
      <c r="C48" s="40"/>
      <c r="D48" s="312"/>
      <c r="E48" s="217"/>
      <c r="F48" s="312"/>
      <c r="G48" s="312"/>
      <c r="H48" s="53"/>
      <c r="I48" s="35" t="e">
        <f>H48/D48*100</f>
        <v>#DIV/0!</v>
      </c>
      <c r="J48" s="35"/>
      <c r="K48" s="72"/>
      <c r="L48" s="450"/>
      <c r="M48" s="442"/>
      <c r="N48" s="442"/>
      <c r="O48" s="442"/>
      <c r="P48" s="442"/>
      <c r="Q48" s="443"/>
      <c r="R48" s="429" t="e">
        <f>#REF!-#REF!</f>
        <v>#REF!</v>
      </c>
      <c r="S48" s="443"/>
      <c r="T48" s="443"/>
      <c r="U48" s="443"/>
      <c r="V48" s="444"/>
      <c r="W48" s="444"/>
      <c r="X48" s="444"/>
      <c r="Y48" s="444"/>
    </row>
    <row r="49" spans="1:25" ht="15.75" x14ac:dyDescent="0.25">
      <c r="A49" s="37" t="s">
        <v>68</v>
      </c>
      <c r="B49" s="73" t="s">
        <v>69</v>
      </c>
      <c r="C49" s="74"/>
      <c r="D49" s="356">
        <f t="shared" ref="D49" si="19">SUM(D50:D53)</f>
        <v>4497</v>
      </c>
      <c r="E49" s="75">
        <f>SUM(E50:E53)</f>
        <v>3664</v>
      </c>
      <c r="F49" s="313">
        <f>SUM(F50:F53)</f>
        <v>3664</v>
      </c>
      <c r="G49" s="313">
        <f>E49</f>
        <v>3664</v>
      </c>
      <c r="H49" s="75">
        <f>SUM(H50:H53)</f>
        <v>4595</v>
      </c>
      <c r="I49" s="35"/>
      <c r="J49" s="107">
        <f>F49/E49*100</f>
        <v>100</v>
      </c>
      <c r="K49" s="72"/>
      <c r="L49" s="450"/>
      <c r="M49" s="442"/>
      <c r="N49" s="442"/>
      <c r="O49" s="442"/>
      <c r="P49" s="442"/>
      <c r="Q49" s="443"/>
      <c r="R49" s="429" t="e">
        <f>#REF!-#REF!</f>
        <v>#REF!</v>
      </c>
      <c r="S49" s="443"/>
      <c r="T49" s="443"/>
      <c r="U49" s="443"/>
      <c r="V49" s="493" t="s">
        <v>70</v>
      </c>
      <c r="W49" s="493" t="s">
        <v>71</v>
      </c>
      <c r="X49" s="493" t="s">
        <v>72</v>
      </c>
      <c r="Y49" s="493" t="s">
        <v>73</v>
      </c>
    </row>
    <row r="50" spans="1:25" ht="15.75" x14ac:dyDescent="0.25">
      <c r="A50" s="76" t="s">
        <v>13</v>
      </c>
      <c r="B50" s="77" t="s">
        <v>74</v>
      </c>
      <c r="C50" s="78" t="s">
        <v>75</v>
      </c>
      <c r="D50" s="11">
        <v>32</v>
      </c>
      <c r="E50" s="47">
        <v>60</v>
      </c>
      <c r="F50" s="11">
        <f>E50</f>
        <v>60</v>
      </c>
      <c r="G50" s="313">
        <f t="shared" ref="G50:G53" si="20">E50</f>
        <v>60</v>
      </c>
      <c r="H50" s="53">
        <v>32</v>
      </c>
      <c r="I50" s="35">
        <f>H50/D50*100</f>
        <v>100</v>
      </c>
      <c r="J50" s="107">
        <f>F50/E50*100</f>
        <v>100</v>
      </c>
      <c r="K50" s="79"/>
      <c r="L50" s="451"/>
      <c r="M50" s="427"/>
      <c r="N50" s="427"/>
      <c r="O50" s="427"/>
      <c r="P50" s="427"/>
      <c r="Q50" s="428"/>
      <c r="R50" s="429" t="e">
        <f>#REF!-#REF!</f>
        <v>#REF!</v>
      </c>
      <c r="S50" s="428"/>
      <c r="T50" s="428"/>
      <c r="U50" s="428"/>
      <c r="V50" s="494">
        <f>H50*20%/12</f>
        <v>0.53333333333333333</v>
      </c>
      <c r="W50" s="495">
        <v>0.45</v>
      </c>
      <c r="X50" s="496">
        <f>V50*W50</f>
        <v>0.24</v>
      </c>
      <c r="Y50" s="494">
        <f>E50*20%*W50</f>
        <v>5.4</v>
      </c>
    </row>
    <row r="51" spans="1:25" ht="15.75" x14ac:dyDescent="0.25">
      <c r="A51" s="76" t="s">
        <v>13</v>
      </c>
      <c r="B51" s="77" t="s">
        <v>76</v>
      </c>
      <c r="C51" s="78" t="s">
        <v>39</v>
      </c>
      <c r="D51" s="11">
        <v>1400</v>
      </c>
      <c r="E51" s="47">
        <v>2445</v>
      </c>
      <c r="F51" s="11">
        <f>E51</f>
        <v>2445</v>
      </c>
      <c r="G51" s="313">
        <f t="shared" si="20"/>
        <v>2445</v>
      </c>
      <c r="H51" s="47">
        <v>1414</v>
      </c>
      <c r="I51" s="35">
        <f>H51/D51*100</f>
        <v>101</v>
      </c>
      <c r="J51" s="107">
        <f t="shared" ref="J51:J57" si="21">F51/E51*100</f>
        <v>100</v>
      </c>
      <c r="K51" s="80"/>
      <c r="L51" s="452"/>
      <c r="M51" s="442"/>
      <c r="N51" s="442"/>
      <c r="O51" s="442"/>
      <c r="P51" s="442"/>
      <c r="Q51" s="443"/>
      <c r="R51" s="429" t="e">
        <f>#REF!-#REF!</f>
        <v>#REF!</v>
      </c>
      <c r="S51" s="443"/>
      <c r="T51" s="443"/>
      <c r="U51" s="443"/>
      <c r="V51" s="497">
        <f>H51*25%/12</f>
        <v>29.458333333333332</v>
      </c>
      <c r="W51" s="493">
        <v>0.4</v>
      </c>
      <c r="X51" s="496">
        <f t="shared" ref="X51:X53" si="22">V51*W51</f>
        <v>11.783333333333333</v>
      </c>
      <c r="Y51" s="497">
        <f>E51*25%*W51</f>
        <v>244.5</v>
      </c>
    </row>
    <row r="52" spans="1:25" ht="15.75" x14ac:dyDescent="0.25">
      <c r="A52" s="76" t="s">
        <v>13</v>
      </c>
      <c r="B52" s="77" t="s">
        <v>77</v>
      </c>
      <c r="C52" s="78" t="s">
        <v>39</v>
      </c>
      <c r="D52" s="11">
        <v>2742</v>
      </c>
      <c r="E52" s="81">
        <v>800</v>
      </c>
      <c r="F52" s="18">
        <f>E52</f>
        <v>800</v>
      </c>
      <c r="G52" s="313">
        <f t="shared" si="20"/>
        <v>800</v>
      </c>
      <c r="H52" s="81">
        <f>2797-7</f>
        <v>2790</v>
      </c>
      <c r="I52" s="35"/>
      <c r="J52" s="107">
        <f t="shared" si="21"/>
        <v>100</v>
      </c>
      <c r="K52" s="79"/>
      <c r="L52" s="451"/>
      <c r="M52" s="427"/>
      <c r="N52" s="427"/>
      <c r="O52" s="427"/>
      <c r="P52" s="427"/>
      <c r="Q52" s="428"/>
      <c r="R52" s="429" t="e">
        <f>#REF!-#REF!</f>
        <v>#REF!</v>
      </c>
      <c r="S52" s="428"/>
      <c r="T52" s="428"/>
      <c r="U52" s="428"/>
      <c r="V52" s="498">
        <f>H52*250%/12</f>
        <v>581.25</v>
      </c>
      <c r="W52" s="495">
        <v>0.1</v>
      </c>
      <c r="X52" s="496">
        <f t="shared" si="22"/>
        <v>58.125</v>
      </c>
      <c r="Y52" s="494">
        <f>E52*250%*W52</f>
        <v>200</v>
      </c>
    </row>
    <row r="53" spans="1:25" ht="15.75" x14ac:dyDescent="0.25">
      <c r="A53" s="82" t="s">
        <v>13</v>
      </c>
      <c r="B53" s="77" t="s">
        <v>78</v>
      </c>
      <c r="C53" s="83" t="s">
        <v>39</v>
      </c>
      <c r="D53" s="11">
        <v>323</v>
      </c>
      <c r="E53" s="81">
        <v>359</v>
      </c>
      <c r="F53" s="18">
        <f>E53</f>
        <v>359</v>
      </c>
      <c r="G53" s="313">
        <f t="shared" si="20"/>
        <v>359</v>
      </c>
      <c r="H53" s="81">
        <v>359</v>
      </c>
      <c r="I53" s="35"/>
      <c r="J53" s="107">
        <f t="shared" si="21"/>
        <v>100</v>
      </c>
      <c r="K53" s="79"/>
      <c r="L53" s="451"/>
      <c r="M53" s="427"/>
      <c r="N53" s="427"/>
      <c r="O53" s="427"/>
      <c r="P53" s="427"/>
      <c r="Q53" s="428"/>
      <c r="R53" s="453"/>
      <c r="S53" s="428"/>
      <c r="T53" s="428"/>
      <c r="U53" s="428"/>
      <c r="V53" s="498">
        <f>H53*60%/12</f>
        <v>17.95</v>
      </c>
      <c r="W53" s="495">
        <f>0.04</f>
        <v>0.04</v>
      </c>
      <c r="X53" s="496">
        <f t="shared" si="22"/>
        <v>0.71799999999999997</v>
      </c>
      <c r="Y53" s="494">
        <f>E53*60%*W53</f>
        <v>8.6159999999999997</v>
      </c>
    </row>
    <row r="54" spans="1:25" ht="15.75" x14ac:dyDescent="0.25">
      <c r="A54" s="84" t="s">
        <v>79</v>
      </c>
      <c r="B54" s="85" t="s">
        <v>80</v>
      </c>
      <c r="C54" s="86" t="s">
        <v>39</v>
      </c>
      <c r="D54" s="356">
        <v>34275</v>
      </c>
      <c r="E54" s="87">
        <v>34823</v>
      </c>
      <c r="F54" s="503">
        <f>E54</f>
        <v>34823</v>
      </c>
      <c r="G54" s="314"/>
      <c r="H54" s="87">
        <f>E54</f>
        <v>34823</v>
      </c>
      <c r="I54" s="42"/>
      <c r="J54" s="107"/>
      <c r="K54" s="88"/>
      <c r="L54" s="454"/>
      <c r="M54" s="432"/>
      <c r="N54" s="432"/>
      <c r="O54" s="455"/>
      <c r="P54" s="455"/>
      <c r="Q54" s="456"/>
      <c r="R54" s="434" t="e">
        <f>#REF!-#REF!</f>
        <v>#REF!</v>
      </c>
      <c r="S54" s="456"/>
      <c r="T54" s="456"/>
      <c r="U54" s="456"/>
      <c r="V54" s="499"/>
      <c r="W54" s="499"/>
      <c r="X54" s="500">
        <f>SUM(X50:X53)</f>
        <v>70.866333333333344</v>
      </c>
      <c r="Y54" s="501">
        <f>SUM(Y50:Y53)</f>
        <v>458.51599999999996</v>
      </c>
    </row>
    <row r="55" spans="1:25" ht="31.5" x14ac:dyDescent="0.25">
      <c r="A55" s="31" t="s">
        <v>81</v>
      </c>
      <c r="B55" s="85" t="s">
        <v>82</v>
      </c>
      <c r="C55" s="33"/>
      <c r="D55" s="11"/>
      <c r="E55" s="232">
        <f>SUM(E56)</f>
        <v>405</v>
      </c>
      <c r="F55" s="315">
        <f t="shared" ref="F55:H55" si="23">SUM(F56)</f>
        <v>425.19800000000009</v>
      </c>
      <c r="G55" s="315">
        <f>E55</f>
        <v>405</v>
      </c>
      <c r="H55" s="232">
        <f t="shared" si="23"/>
        <v>496.06433333333342</v>
      </c>
      <c r="I55" s="42" t="e">
        <f t="shared" ref="I55:I60" si="24">H55/D55*100</f>
        <v>#DIV/0!</v>
      </c>
      <c r="J55" s="107">
        <f t="shared" si="21"/>
        <v>104.98716049382719</v>
      </c>
      <c r="K55" s="43"/>
      <c r="L55" s="431"/>
      <c r="M55" s="432"/>
      <c r="N55" s="432"/>
      <c r="O55" s="432"/>
      <c r="P55" s="432"/>
      <c r="Q55" s="433"/>
      <c r="R55" s="434" t="e">
        <f>#REF!-#REF!</f>
        <v>#REF!</v>
      </c>
      <c r="S55" s="433"/>
      <c r="T55" s="433"/>
      <c r="U55" s="435"/>
      <c r="V55" s="457"/>
      <c r="W55" s="436"/>
      <c r="X55" s="436"/>
      <c r="Y55" s="436"/>
    </row>
    <row r="56" spans="1:25" ht="15.75" x14ac:dyDescent="0.25">
      <c r="A56" s="82" t="s">
        <v>13</v>
      </c>
      <c r="B56" s="90" t="s">
        <v>83</v>
      </c>
      <c r="C56" s="78" t="s">
        <v>58</v>
      </c>
      <c r="D56" s="316">
        <f>(D49+D54)*8%</f>
        <v>3101.76</v>
      </c>
      <c r="E56" s="218">
        <v>405</v>
      </c>
      <c r="F56" s="316">
        <f>X54*6</f>
        <v>425.19800000000009</v>
      </c>
      <c r="G56" s="315">
        <f t="shared" ref="G56:G57" si="25">E56</f>
        <v>405</v>
      </c>
      <c r="H56" s="91">
        <f>X54*7</f>
        <v>496.06433333333342</v>
      </c>
      <c r="I56" s="35">
        <f t="shared" si="24"/>
        <v>15.992995374669006</v>
      </c>
      <c r="J56" s="107">
        <f t="shared" si="21"/>
        <v>104.98716049382719</v>
      </c>
      <c r="K56" s="80"/>
      <c r="L56" s="452"/>
      <c r="M56" s="427"/>
      <c r="N56" s="427"/>
      <c r="O56" s="427"/>
      <c r="P56" s="427"/>
      <c r="Q56" s="428"/>
      <c r="R56" s="429" t="e">
        <f>#REF!-#REF!</f>
        <v>#REF!</v>
      </c>
      <c r="S56" s="428"/>
      <c r="T56" s="428"/>
      <c r="U56" s="428"/>
      <c r="V56" s="389"/>
      <c r="W56" s="389"/>
      <c r="X56" s="389"/>
      <c r="Y56" s="389"/>
    </row>
    <row r="57" spans="1:25" ht="15.75" x14ac:dyDescent="0.25">
      <c r="A57" s="76"/>
      <c r="B57" s="77" t="s">
        <v>84</v>
      </c>
      <c r="C57" s="92" t="s">
        <v>39</v>
      </c>
      <c r="D57" s="317">
        <f>D56*35%</f>
        <v>1085.616</v>
      </c>
      <c r="E57" s="93">
        <f>Y52</f>
        <v>200</v>
      </c>
      <c r="F57" s="317">
        <f>X52*6</f>
        <v>348.75</v>
      </c>
      <c r="G57" s="315">
        <f t="shared" si="25"/>
        <v>200</v>
      </c>
      <c r="H57" s="91">
        <f>X52*7</f>
        <v>406.875</v>
      </c>
      <c r="I57" s="35">
        <f t="shared" si="24"/>
        <v>37.478721757969666</v>
      </c>
      <c r="J57" s="107">
        <f t="shared" si="21"/>
        <v>174.375</v>
      </c>
      <c r="K57" s="79"/>
      <c r="L57" s="451"/>
      <c r="M57" s="427"/>
      <c r="N57" s="427"/>
      <c r="O57" s="427"/>
      <c r="P57" s="427"/>
      <c r="Q57" s="428"/>
      <c r="R57" s="429" t="e">
        <f>#REF!-#REF!</f>
        <v>#REF!</v>
      </c>
      <c r="S57" s="428"/>
      <c r="T57" s="428"/>
      <c r="U57" s="428"/>
      <c r="V57" s="389"/>
      <c r="W57" s="389"/>
      <c r="X57" s="389"/>
      <c r="Y57" s="389"/>
    </row>
    <row r="58" spans="1:25" ht="15.75" x14ac:dyDescent="0.25">
      <c r="A58" s="31">
        <v>5.5</v>
      </c>
      <c r="B58" s="32" t="s">
        <v>85</v>
      </c>
      <c r="C58" s="94"/>
      <c r="D58" s="25"/>
      <c r="E58" s="95"/>
      <c r="F58" s="25"/>
      <c r="G58" s="25"/>
      <c r="H58" s="91"/>
      <c r="I58" s="35" t="e">
        <f t="shared" si="24"/>
        <v>#DIV/0!</v>
      </c>
      <c r="J58" s="107"/>
      <c r="K58" s="79"/>
      <c r="L58" s="451"/>
      <c r="M58" s="427"/>
      <c r="N58" s="427"/>
      <c r="O58" s="427"/>
      <c r="P58" s="427"/>
      <c r="Q58" s="428"/>
      <c r="R58" s="429" t="e">
        <f>#REF!-#REF!</f>
        <v>#REF!</v>
      </c>
      <c r="S58" s="428"/>
      <c r="T58" s="428"/>
      <c r="U58" s="428"/>
      <c r="V58" s="389"/>
      <c r="W58" s="389"/>
      <c r="X58" s="389"/>
      <c r="Y58" s="389"/>
    </row>
    <row r="59" spans="1:25" ht="31.5" x14ac:dyDescent="0.25">
      <c r="A59" s="82" t="s">
        <v>13</v>
      </c>
      <c r="B59" s="55" t="s">
        <v>86</v>
      </c>
      <c r="C59" s="96" t="s">
        <v>35</v>
      </c>
      <c r="D59" s="367">
        <v>456</v>
      </c>
      <c r="E59" s="368">
        <f>200+145</f>
        <v>345</v>
      </c>
      <c r="F59" s="504">
        <v>20.5</v>
      </c>
      <c r="G59" s="367">
        <f>E59</f>
        <v>345</v>
      </c>
      <c r="H59" s="91">
        <v>30</v>
      </c>
      <c r="I59" s="35">
        <f t="shared" si="24"/>
        <v>6.5789473684210522</v>
      </c>
      <c r="J59" s="107">
        <f>F59/E59*100</f>
        <v>5.9420289855072461</v>
      </c>
      <c r="K59" s="79"/>
      <c r="L59" s="451"/>
      <c r="M59" s="442"/>
      <c r="N59" s="442"/>
      <c r="O59" s="442"/>
      <c r="P59" s="442"/>
      <c r="Q59" s="443"/>
      <c r="R59" s="429" t="e">
        <f>#REF!-#REF!</f>
        <v>#REF!</v>
      </c>
      <c r="S59" s="443"/>
      <c r="T59" s="443"/>
      <c r="U59" s="443"/>
      <c r="V59" s="444" t="s">
        <v>87</v>
      </c>
      <c r="W59" s="444"/>
      <c r="X59" s="444"/>
      <c r="Y59" s="444"/>
    </row>
    <row r="60" spans="1:25" ht="31.5" x14ac:dyDescent="0.25">
      <c r="A60" s="82" t="s">
        <v>13</v>
      </c>
      <c r="B60" s="55" t="s">
        <v>88</v>
      </c>
      <c r="C60" s="96" t="s">
        <v>25</v>
      </c>
      <c r="D60" s="11">
        <v>87.09</v>
      </c>
      <c r="E60" s="505">
        <v>87</v>
      </c>
      <c r="F60" s="18">
        <v>87</v>
      </c>
      <c r="G60" s="367">
        <f t="shared" ref="G60:G61" si="26">E60</f>
        <v>87</v>
      </c>
      <c r="H60" s="81">
        <v>87</v>
      </c>
      <c r="I60" s="42">
        <f t="shared" si="24"/>
        <v>99.896658629004477</v>
      </c>
      <c r="J60" s="107">
        <f>F60/E60*100</f>
        <v>100</v>
      </c>
      <c r="K60" s="67"/>
      <c r="L60" s="449"/>
      <c r="M60" s="455"/>
      <c r="N60" s="455"/>
      <c r="O60" s="455"/>
      <c r="P60" s="455"/>
      <c r="Q60" s="456"/>
      <c r="R60" s="434" t="e">
        <f>#REF!-#REF!</f>
        <v>#REF!</v>
      </c>
      <c r="S60" s="456"/>
      <c r="T60" s="456"/>
      <c r="U60" s="456"/>
      <c r="V60" s="458"/>
      <c r="W60" s="458"/>
      <c r="X60" s="458"/>
      <c r="Y60" s="458"/>
    </row>
    <row r="61" spans="1:25" ht="15.75" x14ac:dyDescent="0.25">
      <c r="A61" s="82" t="s">
        <v>13</v>
      </c>
      <c r="B61" s="55" t="s">
        <v>89</v>
      </c>
      <c r="C61" s="96" t="s">
        <v>90</v>
      </c>
      <c r="D61" s="367">
        <f>41877</f>
        <v>41877</v>
      </c>
      <c r="E61" s="369">
        <f>7300+7400</f>
        <v>14700</v>
      </c>
      <c r="F61" s="370">
        <f>E61</f>
        <v>14700</v>
      </c>
      <c r="G61" s="367">
        <f t="shared" si="26"/>
        <v>14700</v>
      </c>
      <c r="H61" s="97">
        <f>E61</f>
        <v>14700</v>
      </c>
      <c r="I61" s="35"/>
      <c r="J61" s="35"/>
      <c r="K61" s="79"/>
      <c r="L61" s="451"/>
      <c r="M61" s="442"/>
      <c r="N61" s="442"/>
      <c r="O61" s="442"/>
      <c r="P61" s="442"/>
      <c r="Q61" s="443"/>
      <c r="R61" s="429" t="e">
        <f>#REF!-#REF!</f>
        <v>#REF!</v>
      </c>
      <c r="S61" s="443"/>
      <c r="T61" s="443"/>
      <c r="U61" s="443"/>
      <c r="V61" s="444"/>
      <c r="W61" s="444"/>
      <c r="X61" s="444"/>
      <c r="Y61" s="444"/>
    </row>
    <row r="62" spans="1:25" ht="15.75" x14ac:dyDescent="0.25">
      <c r="A62" s="371">
        <v>5.6</v>
      </c>
      <c r="B62" s="98" t="s">
        <v>92</v>
      </c>
      <c r="C62" s="99"/>
      <c r="D62" s="25"/>
      <c r="E62" s="217"/>
      <c r="F62" s="312"/>
      <c r="G62" s="312"/>
      <c r="H62" s="91">
        <v>884.6</v>
      </c>
      <c r="I62" s="35" t="e">
        <f>H62/D62*100</f>
        <v>#DIV/0!</v>
      </c>
      <c r="J62" s="35"/>
      <c r="K62" s="79"/>
      <c r="L62" s="451"/>
      <c r="M62" s="427"/>
      <c r="N62" s="427"/>
      <c r="O62" s="427"/>
      <c r="P62" s="427"/>
      <c r="Q62" s="428"/>
      <c r="R62" s="429" t="e">
        <f>#REF!-#REF!</f>
        <v>#REF!</v>
      </c>
      <c r="S62" s="428"/>
      <c r="T62" s="428"/>
      <c r="U62" s="428"/>
      <c r="V62" s="389"/>
      <c r="W62" s="389"/>
      <c r="X62" s="389"/>
      <c r="Y62" s="389"/>
    </row>
    <row r="63" spans="1:25" ht="15.75" x14ac:dyDescent="0.25">
      <c r="A63" s="100" t="s">
        <v>13</v>
      </c>
      <c r="B63" s="101" t="s">
        <v>93</v>
      </c>
      <c r="C63" s="516" t="s">
        <v>35</v>
      </c>
      <c r="D63" s="11">
        <v>105</v>
      </c>
      <c r="E63" s="513">
        <v>12</v>
      </c>
      <c r="F63" s="513">
        <v>12</v>
      </c>
      <c r="G63" s="513">
        <v>12</v>
      </c>
      <c r="H63" s="91">
        <f>E63</f>
        <v>12</v>
      </c>
      <c r="I63" s="35">
        <f>H63/D63*100</f>
        <v>11.428571428571429</v>
      </c>
      <c r="J63" s="519">
        <f>F63/E63%</f>
        <v>100</v>
      </c>
      <c r="K63" s="52"/>
      <c r="L63" s="439"/>
      <c r="M63" s="427"/>
      <c r="N63" s="427"/>
      <c r="O63" s="427"/>
      <c r="P63" s="427"/>
      <c r="Q63" s="428"/>
      <c r="R63" s="429" t="e">
        <f>#REF!-#REF!</f>
        <v>#REF!</v>
      </c>
      <c r="S63" s="428"/>
      <c r="T63" s="428"/>
      <c r="U63" s="428"/>
      <c r="V63" s="389"/>
      <c r="W63" s="389"/>
      <c r="X63" s="389"/>
      <c r="Y63" s="389"/>
    </row>
    <row r="64" spans="1:25" ht="15.75" x14ac:dyDescent="0.25">
      <c r="A64" s="100" t="s">
        <v>13</v>
      </c>
      <c r="B64" s="101" t="s">
        <v>94</v>
      </c>
      <c r="C64" s="517"/>
      <c r="D64" s="11">
        <v>10.67</v>
      </c>
      <c r="E64" s="514"/>
      <c r="F64" s="514"/>
      <c r="G64" s="514"/>
      <c r="H64" s="102">
        <f>E64</f>
        <v>0</v>
      </c>
      <c r="I64" s="42"/>
      <c r="J64" s="520"/>
      <c r="K64" s="103"/>
      <c r="L64" s="459"/>
      <c r="M64" s="432"/>
      <c r="N64" s="432"/>
      <c r="O64" s="432"/>
      <c r="P64" s="432"/>
      <c r="Q64" s="433"/>
      <c r="R64" s="434" t="e">
        <f>#REF!-#REF!</f>
        <v>#REF!</v>
      </c>
      <c r="S64" s="433"/>
      <c r="T64" s="433"/>
      <c r="U64" s="433"/>
      <c r="V64" s="436"/>
      <c r="W64" s="436"/>
      <c r="X64" s="436"/>
      <c r="Y64" s="436"/>
    </row>
    <row r="65" spans="1:25" ht="15.75" x14ac:dyDescent="0.25">
      <c r="A65" s="100" t="s">
        <v>13</v>
      </c>
      <c r="B65" s="101" t="s">
        <v>95</v>
      </c>
      <c r="C65" s="518"/>
      <c r="D65" s="11">
        <v>84</v>
      </c>
      <c r="E65" s="515"/>
      <c r="F65" s="515"/>
      <c r="G65" s="515"/>
      <c r="H65" s="53">
        <f>E65</f>
        <v>0</v>
      </c>
      <c r="I65" s="35"/>
      <c r="J65" s="521"/>
      <c r="K65" s="105"/>
      <c r="L65" s="460"/>
      <c r="M65" s="427"/>
      <c r="N65" s="427"/>
      <c r="O65" s="427"/>
      <c r="P65" s="427"/>
      <c r="Q65" s="428"/>
      <c r="R65" s="429" t="e">
        <f>#REF!-#REF!</f>
        <v>#REF!</v>
      </c>
      <c r="S65" s="428"/>
      <c r="T65" s="428"/>
      <c r="U65" s="428"/>
      <c r="V65" s="389"/>
      <c r="W65" s="389"/>
      <c r="X65" s="389"/>
      <c r="Y65" s="389"/>
    </row>
    <row r="66" spans="1:25" ht="15.75" x14ac:dyDescent="0.25">
      <c r="A66" s="100" t="s">
        <v>13</v>
      </c>
      <c r="B66" s="55" t="s">
        <v>96</v>
      </c>
      <c r="C66" s="106" t="s">
        <v>58</v>
      </c>
      <c r="D66" s="11">
        <f>D67+D68</f>
        <v>520.79999999999995</v>
      </c>
      <c r="E66" s="104">
        <f>E67+E68</f>
        <v>429.49714285714288</v>
      </c>
      <c r="F66" s="56">
        <f>SUM(F67:F68)</f>
        <v>214.74857142857144</v>
      </c>
      <c r="G66" s="56">
        <f t="shared" ref="G66" si="27">E66</f>
        <v>429.49714285714288</v>
      </c>
      <c r="H66" s="53">
        <f>H67+H68</f>
        <v>250.54</v>
      </c>
      <c r="I66" s="107"/>
      <c r="J66" s="107">
        <f t="shared" ref="J66" si="28">F66/E66%</f>
        <v>50.000000000000007</v>
      </c>
      <c r="K66" s="52"/>
      <c r="L66" s="439"/>
      <c r="M66" s="442"/>
      <c r="N66" s="442"/>
      <c r="O66" s="442"/>
      <c r="P66" s="442"/>
      <c r="Q66" s="443"/>
      <c r="R66" s="429" t="e">
        <f>#REF!-#REF!</f>
        <v>#REF!</v>
      </c>
      <c r="S66" s="443"/>
      <c r="T66" s="443"/>
      <c r="U66" s="443"/>
      <c r="V66" s="444"/>
      <c r="W66" s="444"/>
      <c r="X66" s="444"/>
      <c r="Y66" s="444"/>
    </row>
    <row r="67" spans="1:25" ht="31.5" x14ac:dyDescent="0.25">
      <c r="A67" s="108" t="s">
        <v>37</v>
      </c>
      <c r="B67" s="55" t="s">
        <v>97</v>
      </c>
      <c r="C67" s="106" t="s">
        <v>39</v>
      </c>
      <c r="D67" s="11">
        <v>105</v>
      </c>
      <c r="E67" s="104">
        <f>H67*12/7</f>
        <v>99.497142857142862</v>
      </c>
      <c r="F67" s="56">
        <f>E67/12*6</f>
        <v>49.748571428571431</v>
      </c>
      <c r="G67" s="56">
        <f>E67</f>
        <v>99.497142857142862</v>
      </c>
      <c r="H67" s="102">
        <v>58.04</v>
      </c>
      <c r="I67" s="107"/>
      <c r="J67" s="506">
        <f>F67/E67%</f>
        <v>50</v>
      </c>
      <c r="K67" s="52"/>
      <c r="L67" s="439"/>
      <c r="M67" s="442"/>
      <c r="N67" s="442"/>
      <c r="O67" s="442"/>
      <c r="P67" s="442"/>
      <c r="Q67" s="443"/>
      <c r="R67" s="429"/>
      <c r="S67" s="443"/>
      <c r="T67" s="443"/>
      <c r="U67" s="443"/>
      <c r="V67" s="444"/>
      <c r="W67" s="444"/>
      <c r="X67" s="444"/>
      <c r="Y67" s="444"/>
    </row>
    <row r="68" spans="1:25" ht="15.75" x14ac:dyDescent="0.25">
      <c r="A68" s="108" t="s">
        <v>37</v>
      </c>
      <c r="B68" s="55" t="s">
        <v>98</v>
      </c>
      <c r="C68" s="106" t="s">
        <v>39</v>
      </c>
      <c r="D68" s="11">
        <v>415.8</v>
      </c>
      <c r="E68" s="104">
        <v>330</v>
      </c>
      <c r="F68" s="56">
        <f>E68/12*6</f>
        <v>165</v>
      </c>
      <c r="G68" s="56">
        <f>E68</f>
        <v>330</v>
      </c>
      <c r="H68" s="53">
        <f>E68/12*7</f>
        <v>192.5</v>
      </c>
      <c r="I68" s="42"/>
      <c r="J68" s="506">
        <f>F68/E68%</f>
        <v>50</v>
      </c>
      <c r="K68" s="103"/>
      <c r="L68" s="459"/>
      <c r="M68" s="432"/>
      <c r="N68" s="432"/>
      <c r="O68" s="432"/>
      <c r="P68" s="432"/>
      <c r="Q68" s="433"/>
      <c r="R68" s="434" t="e">
        <f>#REF!-#REF!</f>
        <v>#REF!</v>
      </c>
      <c r="S68" s="433"/>
      <c r="T68" s="433"/>
      <c r="U68" s="433"/>
      <c r="V68" s="436"/>
      <c r="W68" s="436"/>
      <c r="X68" s="436"/>
      <c r="Y68" s="436"/>
    </row>
    <row r="69" spans="1:25" ht="15.75" x14ac:dyDescent="0.25">
      <c r="A69" s="109">
        <v>6</v>
      </c>
      <c r="B69" s="110" t="s">
        <v>99</v>
      </c>
      <c r="C69" s="111"/>
      <c r="D69" s="309"/>
      <c r="E69" s="34"/>
      <c r="F69" s="309"/>
      <c r="G69" s="309"/>
      <c r="H69" s="53"/>
      <c r="I69" s="35" t="e">
        <f t="shared" ref="I69:I74" si="29">H69/D69*100</f>
        <v>#DIV/0!</v>
      </c>
      <c r="J69" s="35"/>
      <c r="K69" s="79"/>
      <c r="L69" s="451"/>
      <c r="M69" s="461"/>
      <c r="N69" s="461"/>
      <c r="O69" s="461"/>
      <c r="P69" s="442"/>
      <c r="Q69" s="443"/>
      <c r="R69" s="429" t="e">
        <f>#REF!-#REF!</f>
        <v>#REF!</v>
      </c>
      <c r="S69" s="443"/>
      <c r="T69" s="443"/>
      <c r="U69" s="443"/>
      <c r="V69" s="444"/>
      <c r="W69" s="444"/>
      <c r="X69" s="444"/>
      <c r="Y69" s="444"/>
    </row>
    <row r="70" spans="1:25" ht="31.5" x14ac:dyDescent="0.25">
      <c r="A70" s="100" t="s">
        <v>13</v>
      </c>
      <c r="B70" s="113" t="s">
        <v>100</v>
      </c>
      <c r="C70" s="114" t="s">
        <v>101</v>
      </c>
      <c r="D70" s="11">
        <v>0</v>
      </c>
      <c r="E70" s="115">
        <v>1</v>
      </c>
      <c r="F70" s="318"/>
      <c r="G70" s="318">
        <f>E70</f>
        <v>1</v>
      </c>
      <c r="H70" s="53"/>
      <c r="I70" s="35" t="e">
        <f t="shared" si="29"/>
        <v>#DIV/0!</v>
      </c>
      <c r="J70" s="107">
        <f>F70/E70%</f>
        <v>0</v>
      </c>
      <c r="K70" s="79"/>
      <c r="L70" s="451"/>
      <c r="M70" s="442"/>
      <c r="N70" s="442"/>
      <c r="O70" s="442"/>
      <c r="P70" s="442"/>
      <c r="Q70" s="443"/>
      <c r="R70" s="429" t="e">
        <f>#REF!-#REF!</f>
        <v>#REF!</v>
      </c>
      <c r="S70" s="443"/>
      <c r="T70" s="443"/>
      <c r="U70" s="443"/>
      <c r="V70" s="444"/>
      <c r="W70" s="444"/>
      <c r="X70" s="444"/>
      <c r="Y70" s="444"/>
    </row>
    <row r="71" spans="1:25" ht="15.75" x14ac:dyDescent="0.25">
      <c r="A71" s="100" t="s">
        <v>13</v>
      </c>
      <c r="B71" s="116" t="s">
        <v>102</v>
      </c>
      <c r="C71" s="114" t="s">
        <v>103</v>
      </c>
      <c r="D71" s="11">
        <f>6.95*2/3</f>
        <v>4.6333333333333337</v>
      </c>
      <c r="E71" s="115">
        <v>9.9499999999999993</v>
      </c>
      <c r="F71" s="318">
        <f>E71</f>
        <v>9.9499999999999993</v>
      </c>
      <c r="G71" s="318">
        <f t="shared" ref="G71:G79" si="30">E71</f>
        <v>9.9499999999999993</v>
      </c>
      <c r="H71" s="117">
        <v>9.9499999999999993</v>
      </c>
      <c r="I71" s="35">
        <f t="shared" si="29"/>
        <v>214.74820143884887</v>
      </c>
      <c r="J71" s="107">
        <f t="shared" ref="J71:J78" si="31">F71/E71%</f>
        <v>100</v>
      </c>
      <c r="K71" s="36"/>
      <c r="L71" s="426"/>
      <c r="M71" s="427"/>
      <c r="N71" s="427"/>
      <c r="O71" s="427"/>
      <c r="P71" s="427"/>
      <c r="Q71" s="428"/>
      <c r="R71" s="429" t="e">
        <f>#REF!-#REF!</f>
        <v>#REF!</v>
      </c>
      <c r="S71" s="428"/>
      <c r="T71" s="428"/>
      <c r="U71" s="428"/>
      <c r="V71" s="389"/>
      <c r="W71" s="389"/>
      <c r="X71" s="389"/>
      <c r="Y71" s="389"/>
    </row>
    <row r="72" spans="1:25" ht="15.75" x14ac:dyDescent="0.25">
      <c r="A72" s="100" t="s">
        <v>13</v>
      </c>
      <c r="B72" s="116" t="s">
        <v>104</v>
      </c>
      <c r="C72" s="114" t="s">
        <v>58</v>
      </c>
      <c r="D72" s="357">
        <v>992.25</v>
      </c>
      <c r="E72" s="115">
        <f>4.7*E21*70%</f>
        <v>458.95499999999993</v>
      </c>
      <c r="F72" s="318">
        <f>E72/12*6</f>
        <v>229.47749999999996</v>
      </c>
      <c r="G72" s="318">
        <f t="shared" si="30"/>
        <v>458.95499999999993</v>
      </c>
      <c r="H72" s="53">
        <f>E72/12*7</f>
        <v>267.72375</v>
      </c>
      <c r="I72" s="35">
        <f t="shared" si="29"/>
        <v>26.981481481481477</v>
      </c>
      <c r="J72" s="107">
        <f t="shared" si="31"/>
        <v>50</v>
      </c>
      <c r="K72" s="79"/>
      <c r="L72" s="451"/>
      <c r="M72" s="462">
        <v>325</v>
      </c>
      <c r="N72" s="463"/>
      <c r="O72" s="427"/>
      <c r="P72" s="427"/>
      <c r="Q72" s="428"/>
      <c r="R72" s="429" t="e">
        <f>#REF!-#REF!</f>
        <v>#REF!</v>
      </c>
      <c r="S72" s="428"/>
      <c r="T72" s="428"/>
      <c r="U72" s="428"/>
      <c r="V72" s="389"/>
      <c r="W72" s="389"/>
      <c r="X72" s="389"/>
      <c r="Y72" s="389"/>
    </row>
    <row r="73" spans="1:25" ht="31.5" x14ac:dyDescent="0.25">
      <c r="A73" s="100" t="s">
        <v>13</v>
      </c>
      <c r="B73" s="116" t="s">
        <v>105</v>
      </c>
      <c r="C73" s="114" t="s">
        <v>58</v>
      </c>
      <c r="D73" s="18">
        <v>24000</v>
      </c>
      <c r="E73" s="118">
        <f>E42/3.5*2</f>
        <v>12028.571428571429</v>
      </c>
      <c r="F73" s="57">
        <f>E73/6*3</f>
        <v>6014.2857142857147</v>
      </c>
      <c r="G73" s="318">
        <f t="shared" si="30"/>
        <v>12028.571428571429</v>
      </c>
      <c r="H73" s="53">
        <f>E73/6*3</f>
        <v>6014.2857142857147</v>
      </c>
      <c r="I73" s="35">
        <f t="shared" si="29"/>
        <v>25.05952380952381</v>
      </c>
      <c r="J73" s="107">
        <f t="shared" si="31"/>
        <v>50</v>
      </c>
      <c r="K73" s="79"/>
      <c r="L73" s="426" t="s">
        <v>241</v>
      </c>
      <c r="M73" s="427">
        <v>75</v>
      </c>
      <c r="N73" s="427">
        <v>63</v>
      </c>
      <c r="O73" s="427">
        <f>N73+M73</f>
        <v>138</v>
      </c>
      <c r="P73" s="427"/>
      <c r="Q73" s="428"/>
      <c r="R73" s="429" t="e">
        <f>#REF!-#REF!</f>
        <v>#REF!</v>
      </c>
      <c r="S73" s="428"/>
      <c r="T73" s="428"/>
      <c r="U73" s="428"/>
      <c r="V73" s="389"/>
      <c r="W73" s="389"/>
      <c r="X73" s="389"/>
      <c r="Y73" s="389"/>
    </row>
    <row r="74" spans="1:25" ht="31.5" x14ac:dyDescent="0.25">
      <c r="A74" s="108" t="s">
        <v>13</v>
      </c>
      <c r="B74" s="116" t="s">
        <v>106</v>
      </c>
      <c r="C74" s="114" t="s">
        <v>58</v>
      </c>
      <c r="D74" s="18">
        <f t="shared" ref="D74" si="32">SUM(D75:D76)</f>
        <v>2970357.75</v>
      </c>
      <c r="E74" s="18">
        <f>SUM(E75:E76)</f>
        <v>13200</v>
      </c>
      <c r="F74" s="18">
        <f>SUM(F75:F76)</f>
        <v>2525</v>
      </c>
      <c r="G74" s="318">
        <f t="shared" si="30"/>
        <v>13200</v>
      </c>
      <c r="H74" s="18">
        <f>SUM(H75:H76)</f>
        <v>4087.5</v>
      </c>
      <c r="I74" s="35">
        <f t="shared" si="29"/>
        <v>0.13760968691397527</v>
      </c>
      <c r="J74" s="107">
        <f t="shared" si="31"/>
        <v>19.128787878787879</v>
      </c>
      <c r="K74" s="79"/>
      <c r="L74" s="451"/>
      <c r="M74" s="427">
        <v>250</v>
      </c>
      <c r="N74" s="427">
        <v>22.218</v>
      </c>
      <c r="O74" s="427">
        <f t="shared" ref="O74:O82" si="33">N74+M74</f>
        <v>272.21800000000002</v>
      </c>
      <c r="P74" s="427"/>
      <c r="Q74" s="428"/>
      <c r="R74" s="429" t="e">
        <f>#REF!-#REF!</f>
        <v>#REF!</v>
      </c>
      <c r="S74" s="428"/>
      <c r="T74" s="428"/>
      <c r="U74" s="428"/>
      <c r="V74" s="389"/>
      <c r="W74" s="389"/>
      <c r="X74" s="389"/>
      <c r="Y74" s="389"/>
    </row>
    <row r="75" spans="1:25" ht="30" x14ac:dyDescent="0.25">
      <c r="A75" s="108" t="s">
        <v>37</v>
      </c>
      <c r="B75" s="119" t="s">
        <v>107</v>
      </c>
      <c r="C75" s="114" t="s">
        <v>58</v>
      </c>
      <c r="D75" s="18">
        <v>8948</v>
      </c>
      <c r="E75" s="118">
        <v>9500</v>
      </c>
      <c r="F75" s="319">
        <f>900+700</f>
        <v>1600</v>
      </c>
      <c r="G75" s="318">
        <f t="shared" si="30"/>
        <v>9500</v>
      </c>
      <c r="H75" s="120">
        <f>X75</f>
        <v>2700</v>
      </c>
      <c r="I75" s="121">
        <f t="shared" ref="I75" si="34">H75/8*3</f>
        <v>1012.5</v>
      </c>
      <c r="J75" s="107">
        <f t="shared" si="31"/>
        <v>16.842105263157894</v>
      </c>
      <c r="K75" s="565" t="s">
        <v>108</v>
      </c>
      <c r="L75" s="464" t="s">
        <v>242</v>
      </c>
      <c r="M75" s="432">
        <v>6</v>
      </c>
      <c r="N75" s="432">
        <v>6.3</v>
      </c>
      <c r="O75" s="427">
        <f t="shared" si="33"/>
        <v>12.3</v>
      </c>
      <c r="P75" s="432"/>
      <c r="Q75" s="433"/>
      <c r="R75" s="429" t="e">
        <f>#REF!-#REF!</f>
        <v>#REF!</v>
      </c>
      <c r="S75" s="433"/>
      <c r="T75" s="433"/>
      <c r="U75" s="433"/>
      <c r="V75" s="436" t="s">
        <v>109</v>
      </c>
      <c r="W75" s="436"/>
      <c r="X75" s="436">
        <f>900+700+1100</f>
        <v>2700</v>
      </c>
      <c r="Y75" s="436"/>
    </row>
    <row r="76" spans="1:25" ht="31.5" x14ac:dyDescent="0.25">
      <c r="A76" s="108" t="s">
        <v>37</v>
      </c>
      <c r="B76" s="116" t="s">
        <v>110</v>
      </c>
      <c r="C76" s="114" t="s">
        <v>58</v>
      </c>
      <c r="D76" s="18">
        <f>11845639/4</f>
        <v>2961409.75</v>
      </c>
      <c r="E76" s="118">
        <f>14800/4</f>
        <v>3700</v>
      </c>
      <c r="F76" s="320">
        <f>E76/8*2</f>
        <v>925</v>
      </c>
      <c r="G76" s="318">
        <f t="shared" si="30"/>
        <v>3700</v>
      </c>
      <c r="H76" s="120">
        <f>E76/8*3</f>
        <v>1387.5</v>
      </c>
      <c r="I76" s="35">
        <f t="shared" ref="I76:I84" si="35">H76/D76*100</f>
        <v>4.6852685617044379E-2</v>
      </c>
      <c r="J76" s="107">
        <f t="shared" si="31"/>
        <v>25</v>
      </c>
      <c r="K76" s="566"/>
      <c r="L76" s="465" t="s">
        <v>243</v>
      </c>
      <c r="M76" s="427">
        <v>708</v>
      </c>
      <c r="N76" s="427">
        <v>900</v>
      </c>
      <c r="O76" s="427">
        <f t="shared" si="33"/>
        <v>1608</v>
      </c>
      <c r="P76" s="427"/>
      <c r="Q76" s="428"/>
      <c r="R76" s="429" t="e">
        <f>#REF!-#REF!</f>
        <v>#REF!</v>
      </c>
      <c r="S76" s="428"/>
      <c r="T76" s="428"/>
      <c r="U76" s="428"/>
      <c r="V76" s="436" t="s">
        <v>111</v>
      </c>
      <c r="W76" s="389"/>
      <c r="X76" s="389"/>
      <c r="Y76" s="389"/>
    </row>
    <row r="77" spans="1:25" ht="31.5" x14ac:dyDescent="0.25">
      <c r="A77" s="108" t="s">
        <v>13</v>
      </c>
      <c r="B77" s="116" t="s">
        <v>112</v>
      </c>
      <c r="C77" s="114" t="s">
        <v>113</v>
      </c>
      <c r="D77" s="18">
        <v>2158</v>
      </c>
      <c r="E77" s="81">
        <v>1830</v>
      </c>
      <c r="F77" s="18">
        <f>E77/12*6</f>
        <v>915</v>
      </c>
      <c r="G77" s="318">
        <f t="shared" si="30"/>
        <v>1830</v>
      </c>
      <c r="H77" s="122">
        <f>E77/12*7</f>
        <v>1067.5</v>
      </c>
      <c r="I77" s="35">
        <f t="shared" si="35"/>
        <v>49.467099165894346</v>
      </c>
      <c r="J77" s="107">
        <f t="shared" si="31"/>
        <v>50</v>
      </c>
      <c r="K77" s="79"/>
      <c r="L77" s="451"/>
      <c r="M77" s="427">
        <v>0.27</v>
      </c>
      <c r="N77" s="427">
        <v>0.27999999999999997</v>
      </c>
      <c r="O77" s="427">
        <f t="shared" si="33"/>
        <v>0.55000000000000004</v>
      </c>
      <c r="P77" s="427"/>
      <c r="Q77" s="428"/>
      <c r="R77" s="429" t="e">
        <f>#REF!-#REF!</f>
        <v>#REF!</v>
      </c>
      <c r="S77" s="428"/>
      <c r="T77" s="428"/>
      <c r="U77" s="428"/>
      <c r="V77" s="389"/>
      <c r="W77" s="389"/>
      <c r="X77" s="389"/>
      <c r="Y77" s="389"/>
    </row>
    <row r="78" spans="1:25" ht="47.25" x14ac:dyDescent="0.25">
      <c r="A78" s="100" t="s">
        <v>13</v>
      </c>
      <c r="B78" s="116" t="s">
        <v>114</v>
      </c>
      <c r="C78" s="114" t="s">
        <v>113</v>
      </c>
      <c r="D78" s="11">
        <v>51.61</v>
      </c>
      <c r="E78" s="11">
        <v>73.61</v>
      </c>
      <c r="F78" s="11">
        <f>E78/12*6</f>
        <v>36.805</v>
      </c>
      <c r="G78" s="318">
        <f t="shared" si="30"/>
        <v>73.61</v>
      </c>
      <c r="H78" s="122">
        <f>E78/12*7</f>
        <v>42.939166666666665</v>
      </c>
      <c r="I78" s="35">
        <f t="shared" si="35"/>
        <v>83.199315378156697</v>
      </c>
      <c r="J78" s="107">
        <f t="shared" si="31"/>
        <v>50</v>
      </c>
      <c r="K78" s="79"/>
      <c r="L78" s="451"/>
      <c r="M78" s="427">
        <v>24000</v>
      </c>
      <c r="N78" s="427">
        <v>24000</v>
      </c>
      <c r="O78" s="427">
        <f t="shared" si="33"/>
        <v>48000</v>
      </c>
      <c r="P78" s="427"/>
      <c r="Q78" s="428"/>
      <c r="R78" s="429" t="e">
        <f>#REF!-#REF!</f>
        <v>#REF!</v>
      </c>
      <c r="S78" s="428"/>
      <c r="T78" s="428"/>
      <c r="U78" s="428"/>
      <c r="V78" s="389"/>
      <c r="W78" s="389"/>
      <c r="X78" s="389"/>
      <c r="Y78" s="389"/>
    </row>
    <row r="79" spans="1:25" ht="31.5" x14ac:dyDescent="0.25">
      <c r="A79" s="123">
        <v>7</v>
      </c>
      <c r="B79" s="124" t="s">
        <v>115</v>
      </c>
      <c r="C79" s="125" t="s">
        <v>15</v>
      </c>
      <c r="D79" s="25"/>
      <c r="E79" s="95">
        <v>320</v>
      </c>
      <c r="F79" s="378">
        <f>'bảng tính giá trị'!I33/1000000000</f>
        <v>160.02911005000001</v>
      </c>
      <c r="G79" s="318">
        <f t="shared" si="30"/>
        <v>320</v>
      </c>
      <c r="H79" s="122">
        <f>E79/12*7</f>
        <v>186.66666666666669</v>
      </c>
      <c r="I79" s="35" t="e">
        <f t="shared" si="35"/>
        <v>#DIV/0!</v>
      </c>
      <c r="J79" s="107">
        <f>F79/E79%</f>
        <v>50.009096890625003</v>
      </c>
      <c r="K79" s="126"/>
      <c r="L79" s="466"/>
      <c r="M79" s="427">
        <v>8333.2999999999993</v>
      </c>
      <c r="N79" s="427">
        <v>12916.7</v>
      </c>
      <c r="O79" s="427">
        <f t="shared" si="33"/>
        <v>21250</v>
      </c>
      <c r="P79" s="427"/>
      <c r="Q79" s="428"/>
      <c r="R79" s="429" t="e">
        <f>#REF!-#REF!</f>
        <v>#REF!</v>
      </c>
      <c r="S79" s="428"/>
      <c r="T79" s="428"/>
      <c r="U79" s="428"/>
      <c r="V79" s="389"/>
      <c r="W79" s="389"/>
      <c r="X79" s="389"/>
      <c r="Y79" s="389"/>
    </row>
    <row r="80" spans="1:25" ht="15.75" x14ac:dyDescent="0.25">
      <c r="A80" s="127">
        <v>8</v>
      </c>
      <c r="B80" s="124" t="s">
        <v>116</v>
      </c>
      <c r="C80" s="128"/>
      <c r="D80" s="11"/>
      <c r="E80" s="219"/>
      <c r="F80" s="20"/>
      <c r="G80" s="20"/>
      <c r="H80" s="122"/>
      <c r="I80" s="35" t="e">
        <f t="shared" si="35"/>
        <v>#DIV/0!</v>
      </c>
      <c r="J80" s="35"/>
      <c r="K80" s="129"/>
      <c r="L80" s="467"/>
      <c r="M80" s="427">
        <v>750</v>
      </c>
      <c r="N80" s="427">
        <v>750</v>
      </c>
      <c r="O80" s="468">
        <f t="shared" si="33"/>
        <v>1500</v>
      </c>
      <c r="P80" s="469">
        <f>O80+O81</f>
        <v>4289.6143258426964</v>
      </c>
      <c r="Q80" s="428"/>
      <c r="R80" s="429" t="e">
        <f>#REF!-#REF!</f>
        <v>#REF!</v>
      </c>
      <c r="S80" s="428"/>
      <c r="T80" s="428"/>
      <c r="U80" s="428"/>
      <c r="V80" s="389"/>
      <c r="W80" s="389"/>
      <c r="X80" s="389"/>
      <c r="Y80" s="389"/>
    </row>
    <row r="81" spans="1:25" ht="15.75" x14ac:dyDescent="0.25">
      <c r="A81" s="130" t="s">
        <v>13</v>
      </c>
      <c r="B81" s="131" t="s">
        <v>117</v>
      </c>
      <c r="C81" s="111" t="s">
        <v>118</v>
      </c>
      <c r="D81" s="11">
        <f>4840+265+120+100</f>
        <v>5325</v>
      </c>
      <c r="E81" s="230">
        <v>5000</v>
      </c>
      <c r="F81" s="347">
        <f>SUM(F82:F83)</f>
        <v>2600</v>
      </c>
      <c r="G81" s="347">
        <f>E81</f>
        <v>5000</v>
      </c>
      <c r="H81" s="231">
        <v>3000</v>
      </c>
      <c r="I81" s="35">
        <f t="shared" si="35"/>
        <v>56.338028169014088</v>
      </c>
      <c r="J81" s="107">
        <f t="shared" ref="J81:J87" si="36">F81/E81%</f>
        <v>52</v>
      </c>
      <c r="K81" s="79"/>
      <c r="L81" s="451"/>
      <c r="M81" s="427">
        <v>1380.9971910112361</v>
      </c>
      <c r="N81" s="427">
        <v>1408.6171348314606</v>
      </c>
      <c r="O81" s="468">
        <f t="shared" si="33"/>
        <v>2789.6143258426964</v>
      </c>
      <c r="P81" s="427"/>
      <c r="Q81" s="428"/>
      <c r="R81" s="429" t="e">
        <f>#REF!-#REF!</f>
        <v>#REF!</v>
      </c>
      <c r="S81" s="428"/>
      <c r="T81" s="428"/>
      <c r="U81" s="428"/>
      <c r="V81" s="389"/>
      <c r="W81" s="389"/>
      <c r="X81" s="389"/>
      <c r="Y81" s="389"/>
    </row>
    <row r="82" spans="1:25" ht="15.75" x14ac:dyDescent="0.25">
      <c r="A82" s="130"/>
      <c r="B82" s="131" t="s">
        <v>119</v>
      </c>
      <c r="C82" s="111" t="s">
        <v>39</v>
      </c>
      <c r="D82" s="11">
        <v>0</v>
      </c>
      <c r="E82" s="230"/>
      <c r="F82" s="348"/>
      <c r="G82" s="347"/>
      <c r="H82" s="231"/>
      <c r="I82" s="35" t="e">
        <f t="shared" si="35"/>
        <v>#DIV/0!</v>
      </c>
      <c r="J82" s="107"/>
      <c r="K82" s="79"/>
      <c r="L82" s="451"/>
      <c r="M82" s="427">
        <v>50.6</v>
      </c>
      <c r="N82" s="427">
        <v>51.61</v>
      </c>
      <c r="O82" s="427">
        <f t="shared" si="33"/>
        <v>102.21000000000001</v>
      </c>
      <c r="P82" s="427"/>
      <c r="Q82" s="428"/>
      <c r="R82" s="429" t="e">
        <f>#REF!-#REF!</f>
        <v>#REF!</v>
      </c>
      <c r="S82" s="428"/>
      <c r="T82" s="428"/>
      <c r="U82" s="428"/>
      <c r="V82" s="389"/>
      <c r="W82" s="389"/>
      <c r="X82" s="389"/>
      <c r="Y82" s="389"/>
    </row>
    <row r="83" spans="1:25" ht="15.75" x14ac:dyDescent="0.25">
      <c r="A83" s="130"/>
      <c r="B83" s="131" t="s">
        <v>120</v>
      </c>
      <c r="C83" s="111" t="s">
        <v>39</v>
      </c>
      <c r="D83" s="11">
        <f>4840+265+120+100</f>
        <v>5325</v>
      </c>
      <c r="E83" s="230">
        <v>5000</v>
      </c>
      <c r="F83" s="321">
        <v>2600</v>
      </c>
      <c r="G83" s="347">
        <f t="shared" ref="G83" si="37">E83</f>
        <v>5000</v>
      </c>
      <c r="H83" s="231">
        <f>H81</f>
        <v>3000</v>
      </c>
      <c r="I83" s="35">
        <f t="shared" si="35"/>
        <v>56.338028169014088</v>
      </c>
      <c r="J83" s="107">
        <f t="shared" si="36"/>
        <v>52</v>
      </c>
      <c r="K83" s="79"/>
      <c r="L83" s="451"/>
      <c r="M83" s="427"/>
      <c r="N83" s="427"/>
      <c r="O83" s="427"/>
      <c r="P83" s="427"/>
      <c r="Q83" s="428"/>
      <c r="R83" s="429" t="e">
        <f>#REF!-#REF!</f>
        <v>#REF!</v>
      </c>
      <c r="S83" s="428"/>
      <c r="T83" s="428"/>
      <c r="U83" s="428"/>
      <c r="V83" s="389"/>
      <c r="W83" s="389"/>
      <c r="X83" s="389"/>
      <c r="Y83" s="389"/>
    </row>
    <row r="84" spans="1:25" ht="15.75" x14ac:dyDescent="0.25">
      <c r="A84" s="130" t="s">
        <v>13</v>
      </c>
      <c r="B84" s="131" t="s">
        <v>121</v>
      </c>
      <c r="C84" s="111" t="s">
        <v>15</v>
      </c>
      <c r="D84" s="11">
        <f>16.94+0.821+0.37+0.5</f>
        <v>18.631000000000004</v>
      </c>
      <c r="E84" s="47">
        <v>17</v>
      </c>
      <c r="F84" s="11">
        <f>(E84*F81)/E81</f>
        <v>8.84</v>
      </c>
      <c r="G84" s="11"/>
      <c r="H84" s="120">
        <f>E84*2/3</f>
        <v>11.333333333333334</v>
      </c>
      <c r="I84" s="42">
        <f t="shared" si="35"/>
        <v>60.83051544916178</v>
      </c>
      <c r="J84" s="107">
        <f t="shared" si="36"/>
        <v>51.999999999999993</v>
      </c>
      <c r="K84" s="103"/>
      <c r="L84" s="459"/>
      <c r="M84" s="432"/>
      <c r="N84" s="432">
        <v>224.47</v>
      </c>
      <c r="O84" s="432">
        <v>265</v>
      </c>
      <c r="P84" s="432">
        <f t="shared" ref="P84:P89" si="38">O84+N84</f>
        <v>489.47</v>
      </c>
      <c r="Q84" s="433"/>
      <c r="R84" s="434" t="e">
        <f>#REF!-#REF!</f>
        <v>#REF!</v>
      </c>
      <c r="S84" s="433"/>
      <c r="T84" s="433"/>
      <c r="U84" s="433"/>
      <c r="V84" s="436"/>
      <c r="W84" s="436"/>
      <c r="X84" s="436"/>
      <c r="Y84" s="436"/>
    </row>
    <row r="85" spans="1:25" ht="31.5" x14ac:dyDescent="0.25">
      <c r="A85" s="132">
        <v>9</v>
      </c>
      <c r="B85" s="133" t="s">
        <v>122</v>
      </c>
      <c r="C85" s="134" t="s">
        <v>123</v>
      </c>
      <c r="D85" s="322">
        <v>1</v>
      </c>
      <c r="E85" s="135">
        <v>1</v>
      </c>
      <c r="F85" s="322">
        <v>1</v>
      </c>
      <c r="G85" s="322">
        <v>1</v>
      </c>
      <c r="H85" s="136">
        <v>1</v>
      </c>
      <c r="I85" s="35"/>
      <c r="J85" s="107">
        <f t="shared" si="36"/>
        <v>100</v>
      </c>
      <c r="K85" s="137"/>
      <c r="L85" s="470"/>
      <c r="M85" s="427"/>
      <c r="N85" s="432"/>
      <c r="O85" s="432"/>
      <c r="P85" s="432">
        <f t="shared" si="38"/>
        <v>0</v>
      </c>
      <c r="Q85" s="433"/>
      <c r="R85" s="429" t="e">
        <f>#REF!-#REF!</f>
        <v>#REF!</v>
      </c>
      <c r="S85" s="433"/>
      <c r="T85" s="433"/>
      <c r="U85" s="433"/>
      <c r="V85" s="436"/>
      <c r="W85" s="436"/>
      <c r="X85" s="436"/>
      <c r="Y85" s="436"/>
    </row>
    <row r="86" spans="1:25" ht="15.75" x14ac:dyDescent="0.25">
      <c r="A86" s="127">
        <v>10</v>
      </c>
      <c r="B86" s="133" t="s">
        <v>124</v>
      </c>
      <c r="C86" s="138" t="s">
        <v>15</v>
      </c>
      <c r="D86" s="324">
        <v>118.15600000000001</v>
      </c>
      <c r="E86" s="211">
        <v>94.233000000000004</v>
      </c>
      <c r="F86" s="323">
        <v>32.509</v>
      </c>
      <c r="G86" s="323">
        <f>E86</f>
        <v>94.233000000000004</v>
      </c>
      <c r="H86" s="89">
        <v>33</v>
      </c>
      <c r="I86" s="35">
        <f>H86/D86*100</f>
        <v>27.929178374352549</v>
      </c>
      <c r="J86" s="107">
        <f t="shared" si="36"/>
        <v>34.498530238875979</v>
      </c>
      <c r="K86" s="139"/>
      <c r="L86" s="471"/>
      <c r="M86" s="442"/>
      <c r="N86" s="442">
        <v>1500</v>
      </c>
      <c r="O86" s="442">
        <v>2000</v>
      </c>
      <c r="P86" s="427">
        <f t="shared" si="38"/>
        <v>3500</v>
      </c>
      <c r="Q86" s="443"/>
      <c r="R86" s="429" t="e">
        <f>#REF!-#REF!</f>
        <v>#REF!</v>
      </c>
      <c r="S86" s="443"/>
      <c r="T86" s="443"/>
      <c r="U86" s="443"/>
      <c r="V86" s="444"/>
      <c r="W86" s="444"/>
      <c r="X86" s="444"/>
      <c r="Y86" s="444"/>
    </row>
    <row r="87" spans="1:25" ht="31.5" x14ac:dyDescent="0.25">
      <c r="A87" s="307">
        <v>11</v>
      </c>
      <c r="B87" s="140" t="s">
        <v>125</v>
      </c>
      <c r="C87" s="138" t="s">
        <v>15</v>
      </c>
      <c r="D87" s="324">
        <v>325.68400000000003</v>
      </c>
      <c r="E87" s="211">
        <v>124.74299999999999</v>
      </c>
      <c r="F87" s="324">
        <v>13.974</v>
      </c>
      <c r="G87" s="324">
        <f>E87</f>
        <v>124.74299999999999</v>
      </c>
      <c r="H87" s="89"/>
      <c r="I87" s="35"/>
      <c r="J87" s="107">
        <f t="shared" si="36"/>
        <v>11.202231788557274</v>
      </c>
      <c r="K87" s="126"/>
      <c r="L87" s="466"/>
      <c r="M87" s="427"/>
      <c r="N87" s="427"/>
      <c r="O87" s="427"/>
      <c r="P87" s="427">
        <f t="shared" si="38"/>
        <v>0</v>
      </c>
      <c r="Q87" s="428"/>
      <c r="R87" s="429" t="e">
        <f>#REF!-#REF!</f>
        <v>#REF!</v>
      </c>
      <c r="S87" s="428"/>
      <c r="T87" s="428"/>
      <c r="U87" s="428"/>
      <c r="V87" s="389"/>
      <c r="W87" s="389"/>
      <c r="X87" s="389"/>
      <c r="Y87" s="389"/>
    </row>
    <row r="88" spans="1:25" ht="47.25" x14ac:dyDescent="0.25">
      <c r="A88" s="123">
        <v>12</v>
      </c>
      <c r="B88" s="124" t="s">
        <v>314</v>
      </c>
      <c r="C88" s="125" t="s">
        <v>126</v>
      </c>
      <c r="D88" s="525" t="s">
        <v>127</v>
      </c>
      <c r="E88" s="542" t="s">
        <v>128</v>
      </c>
      <c r="F88" s="525" t="s">
        <v>128</v>
      </c>
      <c r="G88" s="525" t="s">
        <v>128</v>
      </c>
      <c r="H88" s="544" t="s">
        <v>128</v>
      </c>
      <c r="I88" s="35" t="e">
        <f>H88/D88*100</f>
        <v>#VALUE!</v>
      </c>
      <c r="J88" s="531" t="str">
        <f>E88</f>
        <v>Duy trì so với năm 2024</v>
      </c>
      <c r="K88" s="126"/>
      <c r="L88" s="466"/>
      <c r="M88" s="427"/>
      <c r="N88" s="427">
        <v>1500</v>
      </c>
      <c r="O88" s="427">
        <v>2000</v>
      </c>
      <c r="P88" s="427">
        <f t="shared" si="38"/>
        <v>3500</v>
      </c>
      <c r="Q88" s="428"/>
      <c r="R88" s="429" t="e">
        <f>#REF!-#REF!</f>
        <v>#REF!</v>
      </c>
      <c r="S88" s="428"/>
      <c r="T88" s="428"/>
      <c r="U88" s="428"/>
      <c r="V88" s="389"/>
      <c r="W88" s="389"/>
      <c r="X88" s="389"/>
      <c r="Y88" s="389"/>
    </row>
    <row r="89" spans="1:25" ht="47.25" x14ac:dyDescent="0.25">
      <c r="A89" s="123">
        <v>13</v>
      </c>
      <c r="B89" s="124" t="s">
        <v>129</v>
      </c>
      <c r="C89" s="125" t="s">
        <v>126</v>
      </c>
      <c r="D89" s="526"/>
      <c r="E89" s="543"/>
      <c r="F89" s="526"/>
      <c r="G89" s="526"/>
      <c r="H89" s="545"/>
      <c r="I89" s="35" t="e">
        <f>H89/D89*100</f>
        <v>#DIV/0!</v>
      </c>
      <c r="J89" s="532"/>
      <c r="K89" s="36"/>
      <c r="L89" s="426"/>
      <c r="M89" s="427"/>
      <c r="N89" s="427">
        <v>4</v>
      </c>
      <c r="O89" s="427">
        <v>4.5</v>
      </c>
      <c r="P89" s="427">
        <f t="shared" si="38"/>
        <v>8.5</v>
      </c>
      <c r="Q89" s="428"/>
      <c r="R89" s="429" t="e">
        <f>#REF!-#REF!</f>
        <v>#REF!</v>
      </c>
      <c r="S89" s="428"/>
      <c r="T89" s="428"/>
      <c r="U89" s="428"/>
      <c r="V89" s="389"/>
      <c r="W89" s="389"/>
      <c r="X89" s="389"/>
      <c r="Y89" s="389"/>
    </row>
    <row r="90" spans="1:25" ht="31.5" x14ac:dyDescent="0.25">
      <c r="A90" s="123">
        <v>14</v>
      </c>
      <c r="B90" s="124" t="s">
        <v>130</v>
      </c>
      <c r="C90" s="125" t="s">
        <v>15</v>
      </c>
      <c r="D90" s="527" t="s">
        <v>131</v>
      </c>
      <c r="E90" s="546" t="s">
        <v>131</v>
      </c>
      <c r="F90" s="527" t="s">
        <v>131</v>
      </c>
      <c r="G90" s="527" t="s">
        <v>131</v>
      </c>
      <c r="H90" s="548" t="s">
        <v>131</v>
      </c>
      <c r="I90" s="141" t="e">
        <f>H90/D90*100</f>
        <v>#VALUE!</v>
      </c>
      <c r="J90" s="529" t="str">
        <f>E90</f>
        <v>Không đánh giá</v>
      </c>
      <c r="K90" s="137"/>
      <c r="L90" s="470"/>
      <c r="M90" s="432"/>
      <c r="N90" s="432"/>
      <c r="O90" s="432"/>
      <c r="P90" s="432"/>
      <c r="Q90" s="433"/>
      <c r="R90" s="434" t="e">
        <f>#REF!-#REF!</f>
        <v>#REF!</v>
      </c>
      <c r="S90" s="433"/>
      <c r="T90" s="433"/>
      <c r="U90" s="433"/>
      <c r="V90" s="436"/>
      <c r="W90" s="436"/>
      <c r="X90" s="436"/>
      <c r="Y90" s="436"/>
    </row>
    <row r="91" spans="1:25" ht="31.5" x14ac:dyDescent="0.25">
      <c r="A91" s="142"/>
      <c r="B91" s="143" t="s">
        <v>132</v>
      </c>
      <c r="C91" s="111"/>
      <c r="D91" s="528"/>
      <c r="E91" s="547"/>
      <c r="F91" s="528"/>
      <c r="G91" s="528"/>
      <c r="H91" s="549"/>
      <c r="I91" s="35"/>
      <c r="J91" s="530"/>
      <c r="K91" s="144"/>
      <c r="L91" s="472"/>
      <c r="M91" s="427"/>
      <c r="N91" s="427"/>
      <c r="O91" s="427"/>
      <c r="P91" s="427"/>
      <c r="Q91" s="428"/>
      <c r="R91" s="429" t="e">
        <f>#REF!-#REF!</f>
        <v>#REF!</v>
      </c>
      <c r="S91" s="428"/>
      <c r="T91" s="428"/>
      <c r="U91" s="428"/>
      <c r="V91" s="389"/>
      <c r="W91" s="389"/>
      <c r="X91" s="389"/>
      <c r="Y91" s="389"/>
    </row>
    <row r="92" spans="1:25" ht="15.75" x14ac:dyDescent="0.25">
      <c r="A92" s="145">
        <v>15</v>
      </c>
      <c r="B92" s="146" t="s">
        <v>133</v>
      </c>
      <c r="C92" s="147"/>
      <c r="D92" s="358"/>
      <c r="E92" s="219"/>
      <c r="F92" s="20"/>
      <c r="G92" s="20"/>
      <c r="H92" s="91"/>
      <c r="I92" s="35"/>
      <c r="J92" s="35"/>
      <c r="K92" s="43"/>
      <c r="L92" s="431"/>
      <c r="M92" s="432"/>
      <c r="N92" s="432"/>
      <c r="O92" s="432"/>
      <c r="P92" s="432"/>
      <c r="Q92" s="433"/>
      <c r="R92" s="429" t="e">
        <f>#REF!-#REF!</f>
        <v>#REF!</v>
      </c>
      <c r="S92" s="433"/>
      <c r="T92" s="433"/>
      <c r="U92" s="433"/>
      <c r="V92" s="436"/>
      <c r="W92" s="436"/>
      <c r="X92" s="436"/>
      <c r="Y92" s="436"/>
    </row>
    <row r="93" spans="1:25" ht="30" x14ac:dyDescent="0.25">
      <c r="A93" s="148" t="s">
        <v>13</v>
      </c>
      <c r="B93" s="149" t="s">
        <v>134</v>
      </c>
      <c r="C93" s="150" t="s">
        <v>133</v>
      </c>
      <c r="D93" s="11">
        <v>12</v>
      </c>
      <c r="E93" s="11">
        <v>12</v>
      </c>
      <c r="F93" s="11">
        <f>E93</f>
        <v>12</v>
      </c>
      <c r="G93" s="11">
        <f>E93</f>
        <v>12</v>
      </c>
      <c r="H93" s="11">
        <v>12</v>
      </c>
      <c r="I93" s="35">
        <f>H93/D93*100</f>
        <v>100</v>
      </c>
      <c r="J93" s="107">
        <f>F93/E93*100</f>
        <v>100</v>
      </c>
      <c r="K93" s="36"/>
      <c r="L93" s="426"/>
      <c r="M93" s="427"/>
      <c r="N93" s="427"/>
      <c r="O93" s="427"/>
      <c r="P93" s="427"/>
      <c r="Q93" s="428"/>
      <c r="R93" s="429" t="e">
        <f>#REF!-#REF!</f>
        <v>#REF!</v>
      </c>
      <c r="S93" s="430" t="e">
        <f>312.012+D93+H93+#REF!</f>
        <v>#REF!</v>
      </c>
      <c r="T93" s="428"/>
      <c r="U93" s="428"/>
      <c r="V93" s="389"/>
      <c r="W93" s="389"/>
      <c r="X93" s="389"/>
      <c r="Y93" s="389"/>
    </row>
    <row r="94" spans="1:25" ht="31.5" x14ac:dyDescent="0.25">
      <c r="A94" s="148" t="s">
        <v>13</v>
      </c>
      <c r="B94" s="149" t="s">
        <v>135</v>
      </c>
      <c r="C94" s="150" t="s">
        <v>136</v>
      </c>
      <c r="D94" s="11">
        <v>137</v>
      </c>
      <c r="E94" s="11">
        <v>137</v>
      </c>
      <c r="F94" s="11">
        <f t="shared" ref="F94:F95" si="39">E94</f>
        <v>137</v>
      </c>
      <c r="G94" s="11">
        <f t="shared" ref="G94:G95" si="40">E94</f>
        <v>137</v>
      </c>
      <c r="H94" s="11">
        <v>137</v>
      </c>
      <c r="I94" s="42">
        <f>H94/D94*100</f>
        <v>100</v>
      </c>
      <c r="J94" s="107">
        <f t="shared" ref="J94:J98" si="41">F94/E94*100</f>
        <v>100</v>
      </c>
      <c r="K94" s="43"/>
      <c r="L94" s="431"/>
      <c r="M94" s="432"/>
      <c r="N94" s="432"/>
      <c r="O94" s="432"/>
      <c r="P94" s="432"/>
      <c r="Q94" s="433"/>
      <c r="R94" s="434" t="e">
        <f>#REF!-#REF!</f>
        <v>#REF!</v>
      </c>
      <c r="S94" s="433"/>
      <c r="T94" s="433"/>
      <c r="U94" s="433"/>
      <c r="V94" s="436"/>
      <c r="W94" s="436"/>
      <c r="X94" s="436"/>
      <c r="Y94" s="436"/>
    </row>
    <row r="95" spans="1:25" ht="31.5" x14ac:dyDescent="0.25">
      <c r="A95" s="148" t="s">
        <v>13</v>
      </c>
      <c r="B95" s="149" t="s">
        <v>137</v>
      </c>
      <c r="C95" s="150" t="s">
        <v>25</v>
      </c>
      <c r="D95" s="11">
        <v>59</v>
      </c>
      <c r="E95" s="151">
        <v>59</v>
      </c>
      <c r="F95" s="11">
        <f t="shared" si="39"/>
        <v>59</v>
      </c>
      <c r="G95" s="11">
        <f t="shared" si="40"/>
        <v>59</v>
      </c>
      <c r="H95" s="151">
        <v>59</v>
      </c>
      <c r="I95" s="42">
        <f>H95/D95*100</f>
        <v>100</v>
      </c>
      <c r="J95" s="107">
        <f t="shared" si="41"/>
        <v>100</v>
      </c>
      <c r="K95" s="43"/>
      <c r="L95" s="431"/>
      <c r="M95" s="432"/>
      <c r="N95" s="432"/>
      <c r="O95" s="432"/>
      <c r="P95" s="432"/>
      <c r="Q95" s="433"/>
      <c r="R95" s="434" t="e">
        <f>#REF!-#REF!</f>
        <v>#REF!</v>
      </c>
      <c r="S95" s="433"/>
      <c r="T95" s="433"/>
      <c r="U95" s="433"/>
      <c r="V95" s="436"/>
      <c r="W95" s="436"/>
      <c r="X95" s="436"/>
      <c r="Y95" s="436"/>
    </row>
    <row r="96" spans="1:25" ht="15.75" x14ac:dyDescent="0.25">
      <c r="A96" s="145">
        <v>16</v>
      </c>
      <c r="B96" s="146" t="s">
        <v>138</v>
      </c>
      <c r="C96" s="147"/>
      <c r="D96" s="533" t="s">
        <v>139</v>
      </c>
      <c r="E96" s="220"/>
      <c r="F96" s="325"/>
      <c r="G96" s="325"/>
      <c r="H96" s="152"/>
      <c r="I96" s="35"/>
      <c r="J96" s="107"/>
      <c r="K96" s="43"/>
      <c r="L96" s="431"/>
      <c r="M96" s="432"/>
      <c r="N96" s="432"/>
      <c r="O96" s="432"/>
      <c r="P96" s="432"/>
      <c r="Q96" s="433"/>
      <c r="R96" s="429" t="e">
        <f>#REF!-#REF!</f>
        <v>#REF!</v>
      </c>
      <c r="S96" s="433"/>
      <c r="T96" s="433"/>
      <c r="U96" s="433"/>
      <c r="V96" s="436"/>
      <c r="W96" s="436"/>
      <c r="X96" s="436"/>
      <c r="Y96" s="436"/>
    </row>
    <row r="97" spans="1:25" ht="30" x14ac:dyDescent="0.25">
      <c r="A97" s="148" t="s">
        <v>13</v>
      </c>
      <c r="B97" s="149" t="s">
        <v>140</v>
      </c>
      <c r="C97" s="150" t="s">
        <v>141</v>
      </c>
      <c r="D97" s="534"/>
      <c r="E97" s="151">
        <v>1</v>
      </c>
      <c r="F97" s="326">
        <f>E97</f>
        <v>1</v>
      </c>
      <c r="G97" s="326">
        <f>E97</f>
        <v>1</v>
      </c>
      <c r="H97" s="151">
        <v>1</v>
      </c>
      <c r="I97" s="35"/>
      <c r="J97" s="107">
        <f t="shared" si="41"/>
        <v>100</v>
      </c>
      <c r="K97" s="43"/>
      <c r="L97" s="431"/>
      <c r="M97" s="432"/>
      <c r="N97" s="432"/>
      <c r="O97" s="432"/>
      <c r="P97" s="432"/>
      <c r="Q97" s="433"/>
      <c r="R97" s="429" t="e">
        <f>#REF!-#REF!</f>
        <v>#REF!</v>
      </c>
      <c r="S97" s="433"/>
      <c r="T97" s="433"/>
      <c r="U97" s="433"/>
      <c r="V97" s="436"/>
      <c r="W97" s="436"/>
      <c r="X97" s="436"/>
      <c r="Y97" s="436"/>
    </row>
    <row r="98" spans="1:25" ht="31.5" x14ac:dyDescent="0.25">
      <c r="A98" s="148" t="s">
        <v>13</v>
      </c>
      <c r="B98" s="149" t="s">
        <v>142</v>
      </c>
      <c r="C98" s="150" t="s">
        <v>143</v>
      </c>
      <c r="D98" s="12"/>
      <c r="E98" s="151">
        <v>10</v>
      </c>
      <c r="F98" s="326">
        <f>E98</f>
        <v>10</v>
      </c>
      <c r="G98" s="326">
        <f>E98</f>
        <v>10</v>
      </c>
      <c r="H98" s="151">
        <v>10</v>
      </c>
      <c r="I98" s="35"/>
      <c r="J98" s="107">
        <f t="shared" si="41"/>
        <v>100</v>
      </c>
      <c r="K98" s="43"/>
      <c r="L98" s="431"/>
      <c r="M98" s="432"/>
      <c r="N98" s="432"/>
      <c r="O98" s="432"/>
      <c r="P98" s="432"/>
      <c r="Q98" s="433"/>
      <c r="R98" s="429" t="e">
        <f>#REF!-#REF!</f>
        <v>#REF!</v>
      </c>
      <c r="S98" s="433"/>
      <c r="T98" s="433"/>
      <c r="U98" s="433"/>
      <c r="V98" s="436"/>
      <c r="W98" s="436"/>
      <c r="X98" s="436"/>
      <c r="Y98" s="436"/>
    </row>
    <row r="99" spans="1:25" ht="15.75" x14ac:dyDescent="0.25">
      <c r="A99" s="31" t="s">
        <v>144</v>
      </c>
      <c r="B99" s="539" t="s">
        <v>145</v>
      </c>
      <c r="C99" s="540"/>
      <c r="D99" s="540"/>
      <c r="E99" s="540"/>
      <c r="F99" s="540"/>
      <c r="G99" s="540"/>
      <c r="H99" s="540"/>
      <c r="I99" s="540"/>
      <c r="J99" s="540"/>
      <c r="K99" s="541"/>
      <c r="L99" s="426"/>
      <c r="M99" s="427"/>
      <c r="N99" s="427"/>
      <c r="O99" s="427"/>
      <c r="P99" s="427"/>
      <c r="Q99" s="428"/>
      <c r="R99" s="429" t="e">
        <f>#REF!-#REF!</f>
        <v>#REF!</v>
      </c>
      <c r="S99" s="428"/>
      <c r="T99" s="428"/>
      <c r="U99" s="428"/>
      <c r="V99" s="389"/>
      <c r="W99" s="389"/>
      <c r="X99" s="389"/>
      <c r="Y99" s="389"/>
    </row>
    <row r="100" spans="1:25" ht="15.75" x14ac:dyDescent="0.25">
      <c r="A100" s="154">
        <v>1</v>
      </c>
      <c r="B100" s="155" t="s">
        <v>146</v>
      </c>
      <c r="C100" s="156"/>
      <c r="D100" s="12"/>
      <c r="E100" s="221"/>
      <c r="F100" s="325"/>
      <c r="G100" s="325"/>
      <c r="H100" s="153"/>
      <c r="I100" s="35"/>
      <c r="J100" s="35"/>
      <c r="K100" s="126"/>
      <c r="L100" s="466"/>
      <c r="M100" s="427"/>
      <c r="N100" s="427"/>
      <c r="O100" s="473"/>
      <c r="P100" s="427"/>
      <c r="Q100" s="428"/>
      <c r="R100" s="429" t="e">
        <f>#REF!-#REF!</f>
        <v>#REF!</v>
      </c>
      <c r="S100" s="428"/>
      <c r="T100" s="428"/>
      <c r="U100" s="428"/>
      <c r="V100" s="428"/>
      <c r="W100" s="428"/>
      <c r="X100" s="428"/>
      <c r="Y100" s="428"/>
    </row>
    <row r="101" spans="1:25" ht="15.75" x14ac:dyDescent="0.25">
      <c r="A101" s="157" t="s">
        <v>13</v>
      </c>
      <c r="B101" s="158" t="s">
        <v>147</v>
      </c>
      <c r="C101" s="159" t="s">
        <v>136</v>
      </c>
      <c r="D101" s="327">
        <v>7353</v>
      </c>
      <c r="E101" s="222">
        <v>7090</v>
      </c>
      <c r="F101" s="327">
        <f>H101</f>
        <v>7360</v>
      </c>
      <c r="G101" s="327">
        <f>E101</f>
        <v>7090</v>
      </c>
      <c r="H101" s="160">
        <v>7360</v>
      </c>
      <c r="I101" s="35">
        <f>H101/D101*100</f>
        <v>100.09519923840608</v>
      </c>
      <c r="J101" s="107">
        <f>F101/E101%</f>
        <v>103.80818053596614</v>
      </c>
      <c r="K101" s="144"/>
      <c r="L101" s="472"/>
      <c r="M101" s="474"/>
      <c r="N101" s="427"/>
      <c r="O101" s="427"/>
      <c r="P101" s="427"/>
      <c r="Q101" s="428"/>
      <c r="R101" s="429" t="e">
        <f>#REF!-#REF!</f>
        <v>#REF!</v>
      </c>
      <c r="S101" s="428"/>
      <c r="T101" s="428"/>
      <c r="U101" s="428"/>
      <c r="V101" s="428"/>
      <c r="W101" s="428"/>
      <c r="X101" s="428"/>
      <c r="Y101" s="428"/>
    </row>
    <row r="102" spans="1:25" ht="15.75" x14ac:dyDescent="0.25">
      <c r="A102" s="161" t="s">
        <v>13</v>
      </c>
      <c r="B102" s="162" t="s">
        <v>148</v>
      </c>
      <c r="C102" s="96" t="s">
        <v>25</v>
      </c>
      <c r="D102" s="11">
        <v>1.5</v>
      </c>
      <c r="E102" s="163">
        <v>0.8</v>
      </c>
      <c r="F102" s="350">
        <f t="shared" ref="F102:F106" si="42">H102</f>
        <v>1.5</v>
      </c>
      <c r="G102" s="350">
        <f t="shared" ref="G102:G111" si="43">E102</f>
        <v>0.8</v>
      </c>
      <c r="H102" s="153">
        <v>1.5</v>
      </c>
      <c r="I102" s="107" t="s">
        <v>28</v>
      </c>
      <c r="J102" s="107" t="s">
        <v>28</v>
      </c>
      <c r="K102" s="164"/>
      <c r="L102" s="475"/>
      <c r="M102" s="474"/>
      <c r="N102" s="427"/>
      <c r="O102" s="427"/>
      <c r="P102" s="427"/>
      <c r="Q102" s="428"/>
      <c r="R102" s="429" t="e">
        <f>#REF!-#REF!</f>
        <v>#REF!</v>
      </c>
      <c r="S102" s="428"/>
      <c r="T102" s="428"/>
      <c r="U102" s="428"/>
      <c r="V102" s="428"/>
      <c r="W102" s="428"/>
      <c r="X102" s="428"/>
      <c r="Y102" s="428"/>
    </row>
    <row r="103" spans="1:25" ht="15.75" x14ac:dyDescent="0.25">
      <c r="A103" s="157" t="s">
        <v>13</v>
      </c>
      <c r="B103" s="158" t="s">
        <v>149</v>
      </c>
      <c r="C103" s="159" t="s">
        <v>150</v>
      </c>
      <c r="D103" s="11">
        <v>74</v>
      </c>
      <c r="E103" s="11">
        <v>74.5</v>
      </c>
      <c r="F103" s="327">
        <f t="shared" si="42"/>
        <v>74</v>
      </c>
      <c r="G103" s="349">
        <f t="shared" si="43"/>
        <v>74.5</v>
      </c>
      <c r="H103" s="165">
        <v>74</v>
      </c>
      <c r="I103" s="35"/>
      <c r="J103" s="107" t="s">
        <v>28</v>
      </c>
      <c r="K103" s="164"/>
      <c r="L103" s="475"/>
      <c r="M103" s="474"/>
      <c r="N103" s="427"/>
      <c r="O103" s="427"/>
      <c r="P103" s="427"/>
      <c r="Q103" s="428"/>
      <c r="R103" s="429" t="e">
        <f>#REF!-#REF!</f>
        <v>#REF!</v>
      </c>
      <c r="S103" s="428"/>
      <c r="T103" s="428"/>
      <c r="U103" s="428"/>
      <c r="V103" s="428"/>
      <c r="W103" s="428"/>
      <c r="X103" s="428"/>
      <c r="Y103" s="428"/>
    </row>
    <row r="104" spans="1:25" ht="45" x14ac:dyDescent="0.25">
      <c r="A104" s="157" t="s">
        <v>13</v>
      </c>
      <c r="B104" s="158" t="s">
        <v>151</v>
      </c>
      <c r="C104" s="159" t="s">
        <v>152</v>
      </c>
      <c r="D104" s="18">
        <v>107</v>
      </c>
      <c r="E104" s="18">
        <v>107</v>
      </c>
      <c r="F104" s="327">
        <f t="shared" si="42"/>
        <v>107</v>
      </c>
      <c r="G104" s="327">
        <f t="shared" si="43"/>
        <v>107</v>
      </c>
      <c r="H104" s="160">
        <v>107</v>
      </c>
      <c r="I104" s="35">
        <f>H104/D104*100</f>
        <v>100</v>
      </c>
      <c r="J104" s="107" t="s">
        <v>28</v>
      </c>
      <c r="K104" s="164"/>
      <c r="L104" s="475"/>
      <c r="M104" s="474"/>
      <c r="N104" s="427"/>
      <c r="O104" s="427"/>
      <c r="P104" s="427"/>
      <c r="Q104" s="428"/>
      <c r="R104" s="429" t="e">
        <f>#REF!-#REF!</f>
        <v>#REF!</v>
      </c>
      <c r="S104" s="428">
        <v>45</v>
      </c>
      <c r="T104" s="428"/>
      <c r="U104" s="428"/>
      <c r="V104" s="428"/>
      <c r="W104" s="428"/>
      <c r="X104" s="428"/>
      <c r="Y104" s="428"/>
    </row>
    <row r="105" spans="1:25" ht="15.75" x14ac:dyDescent="0.25">
      <c r="A105" s="166" t="s">
        <v>13</v>
      </c>
      <c r="B105" s="167" t="s">
        <v>153</v>
      </c>
      <c r="C105" s="96" t="s">
        <v>154</v>
      </c>
      <c r="D105" s="11">
        <v>14</v>
      </c>
      <c r="E105" s="11">
        <v>8</v>
      </c>
      <c r="F105" s="327">
        <f t="shared" si="42"/>
        <v>14</v>
      </c>
      <c r="G105" s="327">
        <f t="shared" si="43"/>
        <v>8</v>
      </c>
      <c r="H105" s="160">
        <v>14</v>
      </c>
      <c r="I105" s="35">
        <f>H105/D105*100</f>
        <v>100</v>
      </c>
      <c r="J105" s="107" t="s">
        <v>28</v>
      </c>
      <c r="K105" s="164"/>
      <c r="L105" s="475"/>
      <c r="M105" s="474"/>
      <c r="N105" s="427"/>
      <c r="O105" s="427"/>
      <c r="P105" s="427"/>
      <c r="Q105" s="428"/>
      <c r="R105" s="429" t="e">
        <f>#REF!-#REF!</f>
        <v>#REF!</v>
      </c>
      <c r="S105" s="428">
        <v>45</v>
      </c>
      <c r="T105" s="428"/>
      <c r="U105" s="428"/>
      <c r="V105" s="428"/>
      <c r="W105" s="428"/>
      <c r="X105" s="428"/>
      <c r="Y105" s="428"/>
    </row>
    <row r="106" spans="1:25" ht="30" x14ac:dyDescent="0.25">
      <c r="A106" s="166" t="s">
        <v>13</v>
      </c>
      <c r="B106" s="167" t="s">
        <v>155</v>
      </c>
      <c r="C106" s="96" t="s">
        <v>25</v>
      </c>
      <c r="D106" s="11">
        <v>65</v>
      </c>
      <c r="E106" s="11">
        <v>65</v>
      </c>
      <c r="F106" s="327">
        <f t="shared" si="42"/>
        <v>65</v>
      </c>
      <c r="G106" s="327">
        <f t="shared" si="43"/>
        <v>65</v>
      </c>
      <c r="H106" s="120">
        <v>65</v>
      </c>
      <c r="I106" s="35"/>
      <c r="J106" s="107" t="s">
        <v>28</v>
      </c>
      <c r="K106" s="168"/>
      <c r="L106" s="476"/>
      <c r="M106" s="432"/>
      <c r="N106" s="432"/>
      <c r="O106" s="432"/>
      <c r="P106" s="432"/>
      <c r="Q106" s="433"/>
      <c r="R106" s="429" t="e">
        <f>#REF!-#REF!</f>
        <v>#REF!</v>
      </c>
      <c r="S106" s="433"/>
      <c r="T106" s="433"/>
      <c r="U106" s="433"/>
      <c r="V106" s="433"/>
      <c r="W106" s="433"/>
      <c r="X106" s="433"/>
      <c r="Y106" s="433"/>
    </row>
    <row r="107" spans="1:25" ht="15.75" x14ac:dyDescent="0.25">
      <c r="A107" s="166" t="s">
        <v>13</v>
      </c>
      <c r="B107" s="167" t="s">
        <v>156</v>
      </c>
      <c r="C107" s="96" t="s">
        <v>25</v>
      </c>
      <c r="D107" s="11">
        <v>15</v>
      </c>
      <c r="E107" s="11">
        <v>15</v>
      </c>
      <c r="F107" s="327">
        <v>23.2</v>
      </c>
      <c r="G107" s="327">
        <f t="shared" si="43"/>
        <v>15</v>
      </c>
      <c r="H107" s="120">
        <v>15</v>
      </c>
      <c r="I107" s="35"/>
      <c r="J107" s="107" t="s">
        <v>28</v>
      </c>
      <c r="K107" s="168"/>
      <c r="L107" s="476"/>
      <c r="M107" s="432"/>
      <c r="N107" s="432"/>
      <c r="O107" s="432"/>
      <c r="P107" s="432"/>
      <c r="Q107" s="433"/>
      <c r="R107" s="429" t="e">
        <f>#REF!-#REF!</f>
        <v>#REF!</v>
      </c>
      <c r="S107" s="433"/>
      <c r="T107" s="433"/>
      <c r="U107" s="433"/>
      <c r="V107" s="433"/>
      <c r="W107" s="433"/>
      <c r="X107" s="433"/>
      <c r="Y107" s="433"/>
    </row>
    <row r="108" spans="1:25" ht="15.75" x14ac:dyDescent="0.25">
      <c r="A108" s="154">
        <v>2</v>
      </c>
      <c r="B108" s="169" t="s">
        <v>157</v>
      </c>
      <c r="C108" s="156"/>
      <c r="D108" s="312"/>
      <c r="E108" s="217"/>
      <c r="F108" s="312"/>
      <c r="G108" s="327"/>
      <c r="H108" s="170"/>
      <c r="I108" s="107" t="s">
        <v>29</v>
      </c>
      <c r="J108" s="107"/>
      <c r="K108" s="36"/>
      <c r="L108" s="426"/>
      <c r="M108" s="427"/>
      <c r="N108" s="427"/>
      <c r="O108" s="427"/>
      <c r="P108" s="427"/>
      <c r="Q108" s="428"/>
      <c r="R108" s="429" t="e">
        <f>#REF!-#REF!</f>
        <v>#REF!</v>
      </c>
      <c r="S108" s="428"/>
      <c r="T108" s="428"/>
      <c r="U108" s="428"/>
      <c r="V108" s="428"/>
      <c r="W108" s="428"/>
      <c r="X108" s="428"/>
      <c r="Y108" s="428"/>
    </row>
    <row r="109" spans="1:25" ht="47.25" x14ac:dyDescent="0.25">
      <c r="A109" s="157" t="s">
        <v>13</v>
      </c>
      <c r="B109" s="171" t="s">
        <v>158</v>
      </c>
      <c r="C109" s="172" t="s">
        <v>136</v>
      </c>
      <c r="D109" s="18">
        <v>725</v>
      </c>
      <c r="E109" s="81">
        <v>800</v>
      </c>
      <c r="F109" s="18">
        <v>467</v>
      </c>
      <c r="G109" s="327">
        <f t="shared" si="43"/>
        <v>800</v>
      </c>
      <c r="H109" s="173">
        <v>467</v>
      </c>
      <c r="I109" s="107" t="s">
        <v>27</v>
      </c>
      <c r="J109" s="107">
        <f>F109/E109%</f>
        <v>58.375</v>
      </c>
      <c r="K109" s="535"/>
      <c r="L109" s="477"/>
      <c r="M109" s="427"/>
      <c r="N109" s="427"/>
      <c r="O109" s="427"/>
      <c r="P109" s="427"/>
      <c r="Q109" s="428"/>
      <c r="R109" s="429" t="e">
        <f>#REF!-#REF!</f>
        <v>#REF!</v>
      </c>
      <c r="S109" s="428"/>
      <c r="T109" s="428"/>
      <c r="U109" s="478"/>
      <c r="V109" s="478"/>
      <c r="W109" s="428"/>
      <c r="X109" s="428"/>
      <c r="Y109" s="428"/>
    </row>
    <row r="110" spans="1:25" ht="15.75" x14ac:dyDescent="0.25">
      <c r="A110" s="339" t="s">
        <v>13</v>
      </c>
      <c r="B110" s="340" t="s">
        <v>159</v>
      </c>
      <c r="C110" s="341" t="s">
        <v>25</v>
      </c>
      <c r="D110" s="11">
        <v>90.32</v>
      </c>
      <c r="E110" s="11">
        <v>90.5</v>
      </c>
      <c r="F110" s="11">
        <f>D110</f>
        <v>90.32</v>
      </c>
      <c r="G110" s="349">
        <f t="shared" si="43"/>
        <v>90.5</v>
      </c>
      <c r="H110" s="536" t="s">
        <v>160</v>
      </c>
      <c r="I110" s="107" t="s">
        <v>28</v>
      </c>
      <c r="J110" s="107" t="s">
        <v>28</v>
      </c>
      <c r="K110" s="535"/>
      <c r="L110" s="477"/>
      <c r="M110" s="427"/>
      <c r="N110" s="427"/>
      <c r="O110" s="427"/>
      <c r="P110" s="427"/>
      <c r="Q110" s="428"/>
      <c r="R110" s="429" t="e">
        <f>#REF!-#REF!</f>
        <v>#REF!</v>
      </c>
      <c r="S110" s="428"/>
      <c r="T110" s="428"/>
      <c r="U110" s="428"/>
      <c r="V110" s="428"/>
      <c r="W110" s="428"/>
      <c r="X110" s="428"/>
      <c r="Y110" s="428"/>
    </row>
    <row r="111" spans="1:25" ht="31.5" x14ac:dyDescent="0.25">
      <c r="A111" s="342"/>
      <c r="B111" s="343" t="s">
        <v>161</v>
      </c>
      <c r="C111" s="341" t="s">
        <v>25</v>
      </c>
      <c r="D111" s="11">
        <v>46.17</v>
      </c>
      <c r="E111" s="11">
        <v>46.5</v>
      </c>
      <c r="F111" s="11">
        <f>D111</f>
        <v>46.17</v>
      </c>
      <c r="G111" s="349">
        <f t="shared" si="43"/>
        <v>46.5</v>
      </c>
      <c r="H111" s="537"/>
      <c r="I111" s="107" t="s">
        <v>28</v>
      </c>
      <c r="J111" s="107" t="s">
        <v>28</v>
      </c>
      <c r="K111" s="535"/>
      <c r="L111" s="477"/>
      <c r="M111" s="427"/>
      <c r="N111" s="393"/>
      <c r="O111" s="427"/>
      <c r="P111" s="427"/>
      <c r="Q111" s="428"/>
      <c r="R111" s="429" t="e">
        <f>#REF!-#REF!</f>
        <v>#REF!</v>
      </c>
      <c r="S111" s="428"/>
      <c r="T111" s="428"/>
      <c r="U111" s="428"/>
      <c r="V111" s="428"/>
      <c r="W111" s="428"/>
      <c r="X111" s="428"/>
      <c r="Y111" s="428"/>
    </row>
    <row r="112" spans="1:25" ht="15.75" x14ac:dyDescent="0.25">
      <c r="A112" s="379" t="s">
        <v>13</v>
      </c>
      <c r="B112" s="171" t="s">
        <v>310</v>
      </c>
      <c r="C112" s="341" t="s">
        <v>25</v>
      </c>
      <c r="D112" s="11">
        <f>D117/2108%</f>
        <v>9.2504743833017091</v>
      </c>
      <c r="E112" s="11">
        <f>E117/2670%</f>
        <v>6.3670411985018731</v>
      </c>
      <c r="F112" s="383">
        <f>D112</f>
        <v>9.2504743833017091</v>
      </c>
      <c r="G112" s="349">
        <f>E112</f>
        <v>6.3670411985018731</v>
      </c>
      <c r="H112" s="373"/>
      <c r="I112" s="107"/>
      <c r="J112" s="107"/>
      <c r="K112" s="372"/>
      <c r="L112" s="477"/>
      <c r="M112" s="427"/>
      <c r="N112" s="393"/>
      <c r="O112" s="427"/>
      <c r="P112" s="427"/>
      <c r="Q112" s="428"/>
      <c r="R112" s="429"/>
      <c r="S112" s="428"/>
      <c r="T112" s="428"/>
      <c r="U112" s="428"/>
      <c r="V112" s="428"/>
      <c r="W112" s="428"/>
      <c r="X112" s="428"/>
      <c r="Y112" s="428"/>
    </row>
    <row r="113" spans="1:27" s="335" customFormat="1" ht="15.75" x14ac:dyDescent="0.25">
      <c r="A113" s="379"/>
      <c r="B113" s="343" t="s">
        <v>305</v>
      </c>
      <c r="C113" s="341" t="s">
        <v>306</v>
      </c>
      <c r="D113" s="378">
        <v>80</v>
      </c>
      <c r="E113" s="321">
        <v>59</v>
      </c>
      <c r="F113" s="321">
        <f>D113</f>
        <v>80</v>
      </c>
      <c r="G113" s="380">
        <f>E113</f>
        <v>59</v>
      </c>
      <c r="H113" s="381"/>
      <c r="I113" s="29"/>
      <c r="J113" s="29"/>
      <c r="K113" s="382"/>
      <c r="L113" s="479"/>
      <c r="M113" s="423"/>
      <c r="N113" s="480"/>
      <c r="O113" s="423"/>
      <c r="P113" s="423"/>
      <c r="Q113" s="424"/>
      <c r="R113" s="419"/>
      <c r="S113" s="424"/>
      <c r="T113" s="424"/>
      <c r="U113" s="424"/>
      <c r="V113" s="424"/>
      <c r="W113" s="424"/>
      <c r="X113" s="424"/>
      <c r="Y113" s="424"/>
      <c r="Z113" s="481"/>
      <c r="AA113" s="481"/>
    </row>
    <row r="114" spans="1:27" s="335" customFormat="1" ht="15.75" x14ac:dyDescent="0.25">
      <c r="A114" s="342"/>
      <c r="B114" s="343" t="s">
        <v>307</v>
      </c>
      <c r="C114" s="341" t="s">
        <v>25</v>
      </c>
      <c r="D114" s="11">
        <f>D113/2108%</f>
        <v>3.7950664136622394</v>
      </c>
      <c r="E114" s="11">
        <f>E113/2670%</f>
        <v>2.2097378277153559</v>
      </c>
      <c r="F114" s="321">
        <f t="shared" ref="F114:F117" si="44">D114</f>
        <v>3.7950664136622394</v>
      </c>
      <c r="G114" s="380">
        <f t="shared" ref="G114:G116" si="45">E114</f>
        <v>2.2097378277153559</v>
      </c>
      <c r="H114" s="381"/>
      <c r="I114" s="29"/>
      <c r="J114" s="29"/>
      <c r="K114" s="382"/>
      <c r="L114" s="479"/>
      <c r="M114" s="423"/>
      <c r="N114" s="480"/>
      <c r="O114" s="423"/>
      <c r="P114" s="423"/>
      <c r="Q114" s="424"/>
      <c r="R114" s="419"/>
      <c r="S114" s="424"/>
      <c r="T114" s="424"/>
      <c r="U114" s="424"/>
      <c r="V114" s="424"/>
      <c r="W114" s="424"/>
      <c r="X114" s="424"/>
      <c r="Y114" s="424"/>
      <c r="Z114" s="481"/>
      <c r="AA114" s="481"/>
    </row>
    <row r="115" spans="1:27" s="335" customFormat="1" ht="15.75" x14ac:dyDescent="0.25">
      <c r="A115" s="342"/>
      <c r="B115" s="343" t="s">
        <v>308</v>
      </c>
      <c r="C115" s="341" t="s">
        <v>306</v>
      </c>
      <c r="D115" s="378">
        <v>115</v>
      </c>
      <c r="E115" s="321">
        <v>111</v>
      </c>
      <c r="F115" s="321">
        <f t="shared" si="44"/>
        <v>115</v>
      </c>
      <c r="G115" s="380">
        <f t="shared" si="45"/>
        <v>111</v>
      </c>
      <c r="H115" s="381"/>
      <c r="I115" s="29"/>
      <c r="J115" s="29"/>
      <c r="K115" s="382"/>
      <c r="L115" s="479"/>
      <c r="M115" s="423"/>
      <c r="N115" s="480"/>
      <c r="O115" s="423"/>
      <c r="P115" s="423"/>
      <c r="Q115" s="424"/>
      <c r="R115" s="419"/>
      <c r="S115" s="424"/>
      <c r="T115" s="424"/>
      <c r="U115" s="424"/>
      <c r="V115" s="424"/>
      <c r="W115" s="424"/>
      <c r="X115" s="424"/>
      <c r="Y115" s="424"/>
      <c r="Z115" s="481"/>
      <c r="AA115" s="481"/>
    </row>
    <row r="116" spans="1:27" s="335" customFormat="1" ht="15.75" x14ac:dyDescent="0.25">
      <c r="A116" s="342"/>
      <c r="B116" s="343" t="s">
        <v>309</v>
      </c>
      <c r="C116" s="341" t="s">
        <v>25</v>
      </c>
      <c r="D116" s="11">
        <f>D115/2108%</f>
        <v>5.4554079696394693</v>
      </c>
      <c r="E116" s="11">
        <f>E115/2670%</f>
        <v>4.1573033707865168</v>
      </c>
      <c r="F116" s="321">
        <f t="shared" si="44"/>
        <v>5.4554079696394693</v>
      </c>
      <c r="G116" s="380">
        <f t="shared" si="45"/>
        <v>4.1573033707865168</v>
      </c>
      <c r="H116" s="381"/>
      <c r="I116" s="29"/>
      <c r="J116" s="29"/>
      <c r="K116" s="382"/>
      <c r="L116" s="479"/>
      <c r="M116" s="423"/>
      <c r="N116" s="480"/>
      <c r="O116" s="423"/>
      <c r="P116" s="423"/>
      <c r="Q116" s="424"/>
      <c r="R116" s="419"/>
      <c r="S116" s="424"/>
      <c r="T116" s="424"/>
      <c r="U116" s="424"/>
      <c r="V116" s="424"/>
      <c r="W116" s="424"/>
      <c r="X116" s="424"/>
      <c r="Y116" s="424"/>
      <c r="Z116" s="481"/>
      <c r="AA116" s="481"/>
    </row>
    <row r="117" spans="1:27" s="335" customFormat="1" ht="15.75" x14ac:dyDescent="0.25">
      <c r="A117" s="342"/>
      <c r="B117" s="343" t="s">
        <v>312</v>
      </c>
      <c r="C117" s="341" t="s">
        <v>306</v>
      </c>
      <c r="D117" s="321">
        <f>D113+D115</f>
        <v>195</v>
      </c>
      <c r="E117" s="321">
        <f>E113+E115</f>
        <v>170</v>
      </c>
      <c r="F117" s="321">
        <f t="shared" si="44"/>
        <v>195</v>
      </c>
      <c r="G117" s="380">
        <f>E117</f>
        <v>170</v>
      </c>
      <c r="H117" s="381"/>
      <c r="I117" s="29"/>
      <c r="J117" s="29"/>
      <c r="K117" s="382"/>
      <c r="L117" s="479"/>
      <c r="M117" s="423"/>
      <c r="N117" s="480"/>
      <c r="O117" s="423"/>
      <c r="P117" s="423"/>
      <c r="Q117" s="424"/>
      <c r="R117" s="419"/>
      <c r="S117" s="424"/>
      <c r="T117" s="424"/>
      <c r="U117" s="424"/>
      <c r="V117" s="424"/>
      <c r="W117" s="424"/>
      <c r="X117" s="424"/>
      <c r="Y117" s="424"/>
      <c r="Z117" s="481"/>
      <c r="AA117" s="481"/>
    </row>
    <row r="118" spans="1:27" ht="31.5" x14ac:dyDescent="0.25">
      <c r="A118" s="342"/>
      <c r="B118" s="384" t="s">
        <v>311</v>
      </c>
      <c r="C118" s="341"/>
      <c r="D118" s="11"/>
      <c r="E118" s="11">
        <f>E112-D112</f>
        <v>-2.883433184799836</v>
      </c>
      <c r="F118" s="11"/>
      <c r="G118" s="349">
        <f>E118</f>
        <v>-2.883433184799836</v>
      </c>
      <c r="H118" s="373"/>
      <c r="I118" s="107"/>
      <c r="J118" s="107"/>
      <c r="K118" s="372"/>
      <c r="L118" s="477"/>
      <c r="M118" s="427"/>
      <c r="N118" s="393"/>
      <c r="O118" s="427"/>
      <c r="P118" s="427"/>
      <c r="Q118" s="428"/>
      <c r="R118" s="429"/>
      <c r="S118" s="428"/>
      <c r="T118" s="428"/>
      <c r="U118" s="428"/>
      <c r="V118" s="428"/>
      <c r="W118" s="428"/>
      <c r="X118" s="428"/>
      <c r="Y118" s="428"/>
    </row>
    <row r="119" spans="1:27" ht="15.75" x14ac:dyDescent="0.25">
      <c r="A119" s="175">
        <v>4</v>
      </c>
      <c r="B119" s="176" t="s">
        <v>162</v>
      </c>
      <c r="C119" s="134"/>
      <c r="D119" s="312"/>
      <c r="E119" s="217"/>
      <c r="F119" s="312"/>
      <c r="G119" s="312"/>
      <c r="H119" s="177"/>
      <c r="I119" s="107" t="s">
        <v>29</v>
      </c>
      <c r="J119" s="107"/>
      <c r="K119" s="178"/>
      <c r="L119" s="477"/>
      <c r="M119" s="427"/>
      <c r="N119" s="393"/>
      <c r="O119" s="427"/>
      <c r="P119" s="427"/>
      <c r="Q119" s="428"/>
      <c r="R119" s="429"/>
      <c r="S119" s="428"/>
      <c r="T119" s="428"/>
      <c r="U119" s="428"/>
      <c r="V119" s="428"/>
      <c r="W119" s="428"/>
      <c r="X119" s="428"/>
      <c r="Y119" s="428"/>
    </row>
    <row r="120" spans="1:27" ht="31.5" x14ac:dyDescent="0.25">
      <c r="A120" s="339" t="s">
        <v>13</v>
      </c>
      <c r="B120" s="344" t="s">
        <v>163</v>
      </c>
      <c r="C120" s="341" t="s">
        <v>164</v>
      </c>
      <c r="D120" s="345">
        <v>1960</v>
      </c>
      <c r="E120" s="18">
        <f>SUM(E121:E124)</f>
        <v>2090</v>
      </c>
      <c r="F120" s="328">
        <f>D120</f>
        <v>1960</v>
      </c>
      <c r="G120" s="502">
        <f>E120</f>
        <v>2090</v>
      </c>
      <c r="H120" s="536" t="s">
        <v>165</v>
      </c>
      <c r="I120" s="107" t="s">
        <v>28</v>
      </c>
      <c r="J120" s="107">
        <f>F120/E120%</f>
        <v>93.779904306220104</v>
      </c>
      <c r="K120" s="178"/>
      <c r="L120" s="477"/>
      <c r="M120" s="427"/>
      <c r="N120" s="393"/>
      <c r="O120" s="427"/>
      <c r="P120" s="427"/>
      <c r="Q120" s="428"/>
      <c r="R120" s="429"/>
      <c r="S120" s="428"/>
      <c r="T120" s="428"/>
      <c r="U120" s="428"/>
      <c r="V120" s="428"/>
      <c r="W120" s="428"/>
      <c r="X120" s="428"/>
      <c r="Y120" s="428"/>
    </row>
    <row r="121" spans="1:27" ht="15.75" x14ac:dyDescent="0.25">
      <c r="A121" s="339"/>
      <c r="B121" s="344" t="s">
        <v>166</v>
      </c>
      <c r="C121" s="341" t="s">
        <v>39</v>
      </c>
      <c r="D121" s="346">
        <v>107</v>
      </c>
      <c r="E121" s="18">
        <v>147</v>
      </c>
      <c r="F121" s="328">
        <f t="shared" ref="F121:F124" si="46">D121</f>
        <v>107</v>
      </c>
      <c r="G121" s="502">
        <f t="shared" ref="G121:G124" si="47">E121</f>
        <v>147</v>
      </c>
      <c r="H121" s="538"/>
      <c r="I121" s="107" t="s">
        <v>29</v>
      </c>
      <c r="J121" s="107">
        <f t="shared" ref="J121:J123" si="48">F121/E121%</f>
        <v>72.789115646258509</v>
      </c>
      <c r="K121" s="178"/>
      <c r="L121" s="477"/>
      <c r="M121" s="427"/>
      <c r="N121" s="393"/>
      <c r="O121" s="427"/>
      <c r="P121" s="427"/>
      <c r="Q121" s="428"/>
      <c r="R121" s="429"/>
      <c r="S121" s="428"/>
      <c r="T121" s="428"/>
      <c r="U121" s="428"/>
      <c r="V121" s="428"/>
      <c r="W121" s="428"/>
      <c r="X121" s="428"/>
      <c r="Y121" s="428"/>
    </row>
    <row r="122" spans="1:27" ht="15.75" x14ac:dyDescent="0.25">
      <c r="A122" s="339"/>
      <c r="B122" s="344" t="s">
        <v>167</v>
      </c>
      <c r="C122" s="341" t="s">
        <v>39</v>
      </c>
      <c r="D122" s="346">
        <v>422</v>
      </c>
      <c r="E122" s="18">
        <v>402</v>
      </c>
      <c r="F122" s="328">
        <f t="shared" si="46"/>
        <v>422</v>
      </c>
      <c r="G122" s="502">
        <f t="shared" si="47"/>
        <v>402</v>
      </c>
      <c r="H122" s="538"/>
      <c r="I122" s="35"/>
      <c r="J122" s="107">
        <f t="shared" si="48"/>
        <v>104.97512437810947</v>
      </c>
      <c r="K122" s="137"/>
      <c r="L122" s="470"/>
      <c r="M122" s="432"/>
      <c r="N122" s="393"/>
      <c r="O122" s="432"/>
      <c r="P122" s="432"/>
      <c r="Q122" s="433"/>
      <c r="R122" s="429" t="e">
        <f>#REF!-#REF!</f>
        <v>#REF!</v>
      </c>
      <c r="S122" s="433"/>
      <c r="T122" s="433"/>
      <c r="U122" s="433"/>
      <c r="V122" s="433"/>
      <c r="W122" s="433"/>
      <c r="X122" s="433"/>
      <c r="Y122" s="433"/>
    </row>
    <row r="123" spans="1:27" ht="15.75" x14ac:dyDescent="0.25">
      <c r="A123" s="339"/>
      <c r="B123" s="344" t="s">
        <v>168</v>
      </c>
      <c r="C123" s="341" t="s">
        <v>39</v>
      </c>
      <c r="D123" s="346">
        <v>842</v>
      </c>
      <c r="E123" s="18">
        <v>873</v>
      </c>
      <c r="F123" s="328">
        <f t="shared" si="46"/>
        <v>842</v>
      </c>
      <c r="G123" s="502">
        <f t="shared" si="47"/>
        <v>873</v>
      </c>
      <c r="H123" s="538"/>
      <c r="I123" s="35">
        <f>H123/D123*100</f>
        <v>0</v>
      </c>
      <c r="J123" s="107">
        <f t="shared" si="48"/>
        <v>96.449026345933561</v>
      </c>
      <c r="K123" s="139"/>
      <c r="L123" s="471"/>
      <c r="M123" s="442"/>
      <c r="N123" s="393"/>
      <c r="O123" s="427"/>
      <c r="P123" s="442"/>
      <c r="Q123" s="443"/>
      <c r="R123" s="429" t="e">
        <f>#REF!-#REF!</f>
        <v>#REF!</v>
      </c>
      <c r="S123" s="443"/>
      <c r="T123" s="443"/>
      <c r="U123" s="443"/>
      <c r="V123" s="443"/>
      <c r="W123" s="443"/>
      <c r="X123" s="443"/>
      <c r="Y123" s="443"/>
    </row>
    <row r="124" spans="1:27" ht="15.75" x14ac:dyDescent="0.25">
      <c r="A124" s="339"/>
      <c r="B124" s="344" t="s">
        <v>169</v>
      </c>
      <c r="C124" s="341" t="s">
        <v>39</v>
      </c>
      <c r="D124" s="346">
        <v>589</v>
      </c>
      <c r="E124" s="18">
        <v>668</v>
      </c>
      <c r="F124" s="328">
        <f t="shared" si="46"/>
        <v>589</v>
      </c>
      <c r="G124" s="502">
        <f t="shared" si="47"/>
        <v>668</v>
      </c>
      <c r="H124" s="537"/>
      <c r="I124" s="107" t="s">
        <v>28</v>
      </c>
      <c r="J124" s="107" t="s">
        <v>28</v>
      </c>
      <c r="K124" s="36"/>
      <c r="L124" s="426"/>
      <c r="M124" s="442"/>
      <c r="N124" s="393"/>
      <c r="O124" s="442"/>
      <c r="P124" s="442"/>
      <c r="Q124" s="443"/>
      <c r="R124" s="429" t="e">
        <f>#REF!-#REF!</f>
        <v>#REF!</v>
      </c>
      <c r="S124" s="443"/>
      <c r="T124" s="443"/>
      <c r="U124" s="443"/>
      <c r="V124" s="443"/>
      <c r="W124" s="443"/>
      <c r="X124" s="443"/>
      <c r="Y124" s="443"/>
    </row>
    <row r="125" spans="1:27" ht="31.5" x14ac:dyDescent="0.25">
      <c r="A125" s="157" t="s">
        <v>13</v>
      </c>
      <c r="B125" s="171" t="s">
        <v>170</v>
      </c>
      <c r="C125" s="172" t="s">
        <v>39</v>
      </c>
      <c r="D125" s="359">
        <v>100</v>
      </c>
      <c r="E125" s="179">
        <v>100</v>
      </c>
      <c r="F125" s="329">
        <v>100</v>
      </c>
      <c r="G125" s="329">
        <f>E125</f>
        <v>100</v>
      </c>
      <c r="H125" s="180">
        <v>100</v>
      </c>
      <c r="I125" s="107" t="s">
        <v>28</v>
      </c>
      <c r="J125" s="107" t="s">
        <v>28</v>
      </c>
      <c r="K125" s="144"/>
      <c r="L125" s="472"/>
      <c r="M125" s="442"/>
      <c r="N125" s="442"/>
      <c r="O125" s="442"/>
      <c r="P125" s="442"/>
      <c r="Q125" s="443"/>
      <c r="R125" s="429" t="e">
        <f>#REF!-#REF!</f>
        <v>#REF!</v>
      </c>
      <c r="S125" s="443"/>
      <c r="T125" s="443"/>
      <c r="U125" s="443"/>
      <c r="V125" s="443"/>
      <c r="W125" s="443"/>
      <c r="X125" s="443"/>
      <c r="Y125" s="443"/>
    </row>
    <row r="126" spans="1:27" ht="15.75" x14ac:dyDescent="0.25">
      <c r="A126" s="157"/>
      <c r="B126" s="174" t="s">
        <v>171</v>
      </c>
      <c r="C126" s="172" t="s">
        <v>39</v>
      </c>
      <c r="D126" s="359">
        <v>100</v>
      </c>
      <c r="E126" s="179">
        <v>100</v>
      </c>
      <c r="F126" s="329">
        <v>100</v>
      </c>
      <c r="G126" s="329">
        <f t="shared" ref="G126:G127" si="49">E126</f>
        <v>100</v>
      </c>
      <c r="H126" s="180">
        <v>100</v>
      </c>
      <c r="I126" s="35"/>
      <c r="J126" s="107"/>
      <c r="K126" s="126"/>
      <c r="L126" s="466"/>
      <c r="M126" s="427"/>
      <c r="N126" s="427"/>
      <c r="O126" s="427"/>
      <c r="P126" s="427"/>
      <c r="Q126" s="428"/>
      <c r="R126" s="429" t="e">
        <f>#REF!-#REF!</f>
        <v>#REF!</v>
      </c>
      <c r="S126" s="428"/>
      <c r="T126" s="428"/>
      <c r="U126" s="428"/>
      <c r="V126" s="428"/>
      <c r="W126" s="428"/>
      <c r="X126" s="428"/>
      <c r="Y126" s="428"/>
    </row>
    <row r="127" spans="1:27" ht="15.75" customHeight="1" x14ac:dyDescent="0.25">
      <c r="A127" s="157"/>
      <c r="B127" s="174" t="s">
        <v>172</v>
      </c>
      <c r="C127" s="172" t="s">
        <v>39</v>
      </c>
      <c r="D127" s="359">
        <v>100</v>
      </c>
      <c r="E127" s="351">
        <v>100</v>
      </c>
      <c r="F127" s="330">
        <v>100</v>
      </c>
      <c r="G127" s="330">
        <f t="shared" si="49"/>
        <v>100</v>
      </c>
      <c r="H127" s="536" t="s">
        <v>173</v>
      </c>
      <c r="I127" s="35"/>
      <c r="J127" s="107"/>
      <c r="K127" s="181"/>
      <c r="L127" s="482"/>
      <c r="M127" s="427"/>
      <c r="N127" s="427"/>
      <c r="O127" s="427"/>
      <c r="P127" s="427"/>
      <c r="Q127" s="428"/>
      <c r="R127" s="429" t="e">
        <f>#REF!-#REF!</f>
        <v>#REF!</v>
      </c>
      <c r="S127" s="428"/>
      <c r="T127" s="428"/>
      <c r="U127" s="428"/>
      <c r="V127" s="428"/>
      <c r="W127" s="428"/>
      <c r="X127" s="428"/>
      <c r="Y127" s="428"/>
    </row>
    <row r="128" spans="1:27" ht="63" x14ac:dyDescent="0.25">
      <c r="A128" s="157" t="s">
        <v>13</v>
      </c>
      <c r="B128" s="171" t="s">
        <v>174</v>
      </c>
      <c r="C128" s="172" t="s">
        <v>25</v>
      </c>
      <c r="D128" s="207">
        <v>16.18</v>
      </c>
      <c r="E128" s="364">
        <v>15</v>
      </c>
      <c r="F128" s="207">
        <v>16.18</v>
      </c>
      <c r="G128" s="207">
        <f>E128</f>
        <v>15</v>
      </c>
      <c r="H128" s="538"/>
      <c r="I128" s="35"/>
      <c r="J128" s="107" t="s">
        <v>28</v>
      </c>
      <c r="K128" s="181"/>
      <c r="L128" s="482"/>
      <c r="M128" s="427"/>
      <c r="N128" s="427"/>
      <c r="O128" s="427"/>
      <c r="P128" s="427"/>
      <c r="Q128" s="428"/>
      <c r="R128" s="429" t="e">
        <f>#REF!-#REF!</f>
        <v>#REF!</v>
      </c>
      <c r="S128" s="428"/>
      <c r="T128" s="428"/>
      <c r="U128" s="428"/>
      <c r="V128" s="428"/>
      <c r="W128" s="428"/>
      <c r="X128" s="428"/>
      <c r="Y128" s="428"/>
    </row>
    <row r="129" spans="1:25" ht="31.5" x14ac:dyDescent="0.25">
      <c r="A129" s="157" t="s">
        <v>13</v>
      </c>
      <c r="B129" s="182" t="s">
        <v>175</v>
      </c>
      <c r="C129" s="183" t="s">
        <v>25</v>
      </c>
      <c r="D129" s="365">
        <v>100</v>
      </c>
      <c r="E129" s="366" t="s">
        <v>176</v>
      </c>
      <c r="F129" s="365">
        <v>66.7</v>
      </c>
      <c r="G129" s="365" t="str">
        <f>E129</f>
        <v>66,7</v>
      </c>
      <c r="H129" s="538"/>
      <c r="I129" s="107"/>
      <c r="J129" s="107" t="s">
        <v>28</v>
      </c>
      <c r="K129" s="181"/>
      <c r="L129" s="482"/>
      <c r="M129" s="427"/>
      <c r="N129" s="427"/>
      <c r="O129" s="427"/>
      <c r="P129" s="427"/>
      <c r="Q129" s="428"/>
      <c r="R129" s="429" t="e">
        <f>#REF!-#REF!</f>
        <v>#REF!</v>
      </c>
      <c r="S129" s="428"/>
      <c r="T129" s="428"/>
      <c r="U129" s="428"/>
      <c r="V129" s="428"/>
      <c r="W129" s="428"/>
      <c r="X129" s="428"/>
      <c r="Y129" s="428"/>
    </row>
    <row r="130" spans="1:25" ht="15.75" x14ac:dyDescent="0.25">
      <c r="A130" s="157"/>
      <c r="B130" s="184" t="s">
        <v>177</v>
      </c>
      <c r="C130" s="183" t="s">
        <v>178</v>
      </c>
      <c r="D130" s="309">
        <v>2</v>
      </c>
      <c r="E130" s="34">
        <v>2</v>
      </c>
      <c r="F130" s="309">
        <v>2</v>
      </c>
      <c r="G130" s="309">
        <f>E130</f>
        <v>2</v>
      </c>
      <c r="H130" s="538"/>
      <c r="I130" s="107"/>
      <c r="J130" s="107"/>
      <c r="K130" s="181"/>
      <c r="L130" s="482"/>
      <c r="M130" s="442"/>
      <c r="N130" s="442"/>
      <c r="O130" s="442"/>
      <c r="P130" s="442"/>
      <c r="Q130" s="443"/>
      <c r="R130" s="429" t="e">
        <f>#REF!-#REF!</f>
        <v>#REF!</v>
      </c>
      <c r="S130" s="443"/>
      <c r="T130" s="443"/>
      <c r="U130" s="443"/>
      <c r="V130" s="443"/>
      <c r="W130" s="443"/>
      <c r="X130" s="443"/>
      <c r="Y130" s="443"/>
    </row>
    <row r="131" spans="1:25" ht="31.5" x14ac:dyDescent="0.25">
      <c r="A131" s="157"/>
      <c r="B131" s="184" t="s">
        <v>179</v>
      </c>
      <c r="C131" s="183" t="s">
        <v>178</v>
      </c>
      <c r="D131" s="309">
        <v>2</v>
      </c>
      <c r="E131" s="34">
        <v>2</v>
      </c>
      <c r="F131" s="309">
        <v>2</v>
      </c>
      <c r="G131" s="309">
        <f>E131</f>
        <v>2</v>
      </c>
      <c r="H131" s="538"/>
      <c r="I131" s="35"/>
      <c r="J131" s="35"/>
      <c r="K131" s="181"/>
      <c r="L131" s="482"/>
      <c r="M131" s="442"/>
      <c r="N131" s="442"/>
      <c r="O131" s="442"/>
      <c r="P131" s="442"/>
      <c r="Q131" s="443"/>
      <c r="R131" s="429" t="e">
        <f>#REF!-#REF!</f>
        <v>#REF!</v>
      </c>
      <c r="S131" s="443"/>
      <c r="T131" s="443"/>
      <c r="U131" s="443"/>
      <c r="V131" s="443"/>
      <c r="W131" s="443"/>
      <c r="X131" s="443"/>
      <c r="Y131" s="443"/>
    </row>
    <row r="132" spans="1:25" ht="15.75" x14ac:dyDescent="0.25">
      <c r="A132" s="175">
        <v>5</v>
      </c>
      <c r="B132" s="522" t="s">
        <v>180</v>
      </c>
      <c r="C132" s="523"/>
      <c r="D132" s="523"/>
      <c r="E132" s="523"/>
      <c r="F132" s="523"/>
      <c r="G132" s="523"/>
      <c r="H132" s="523"/>
      <c r="I132" s="523"/>
      <c r="J132" s="523"/>
      <c r="K132" s="524"/>
      <c r="L132" s="482"/>
      <c r="M132" s="427"/>
      <c r="N132" s="427"/>
      <c r="O132" s="427"/>
      <c r="P132" s="427"/>
      <c r="Q132" s="428"/>
      <c r="R132" s="429" t="e">
        <v>#REF!</v>
      </c>
      <c r="S132" s="428"/>
      <c r="T132" s="428"/>
      <c r="U132" s="428"/>
      <c r="V132" s="389"/>
      <c r="W132" s="389"/>
      <c r="X132" s="389"/>
      <c r="Y132" s="389"/>
    </row>
    <row r="133" spans="1:25" ht="15.75" x14ac:dyDescent="0.25">
      <c r="A133" s="175" t="s">
        <v>13</v>
      </c>
      <c r="B133" s="171" t="s">
        <v>181</v>
      </c>
      <c r="C133" s="172" t="s">
        <v>25</v>
      </c>
      <c r="D133" s="201">
        <v>100</v>
      </c>
      <c r="E133" s="185">
        <v>100</v>
      </c>
      <c r="F133" s="201">
        <v>100</v>
      </c>
      <c r="G133" s="201">
        <f t="shared" ref="G133:G140" si="50">E133</f>
        <v>100</v>
      </c>
      <c r="H133" s="186"/>
      <c r="I133" s="35"/>
      <c r="J133" s="35"/>
      <c r="K133" s="36"/>
      <c r="L133" s="426"/>
      <c r="M133" s="427"/>
      <c r="N133" s="427"/>
      <c r="O133" s="427"/>
      <c r="P133" s="427"/>
      <c r="Q133" s="428"/>
      <c r="R133" s="429" t="e">
        <v>#REF!</v>
      </c>
      <c r="S133" s="428"/>
      <c r="T133" s="428"/>
      <c r="U133" s="428"/>
      <c r="V133" s="389"/>
      <c r="W133" s="389"/>
      <c r="X133" s="389"/>
      <c r="Y133" s="389"/>
    </row>
    <row r="134" spans="1:25" ht="60" x14ac:dyDescent="0.25">
      <c r="A134" s="175" t="s">
        <v>13</v>
      </c>
      <c r="B134" s="171" t="s">
        <v>182</v>
      </c>
      <c r="C134" s="172" t="s">
        <v>25</v>
      </c>
      <c r="D134" s="225">
        <v>54.71</v>
      </c>
      <c r="E134" s="187">
        <v>55.21</v>
      </c>
      <c r="F134" s="332" t="s">
        <v>303</v>
      </c>
      <c r="G134" s="225">
        <f t="shared" si="50"/>
        <v>55.21</v>
      </c>
      <c r="H134" s="91"/>
      <c r="I134" s="120">
        <v>0</v>
      </c>
      <c r="J134" s="192">
        <v>0</v>
      </c>
      <c r="K134" s="126"/>
      <c r="L134" s="466"/>
      <c r="M134" s="427"/>
      <c r="N134" s="427"/>
      <c r="O134" s="427"/>
      <c r="P134" s="427"/>
      <c r="Q134" s="428"/>
      <c r="R134" s="429" t="e">
        <v>#REF!</v>
      </c>
      <c r="S134" s="428"/>
      <c r="T134" s="428"/>
      <c r="U134" s="428"/>
      <c r="V134" s="389"/>
      <c r="W134" s="389"/>
      <c r="X134" s="389"/>
      <c r="Y134" s="389"/>
    </row>
    <row r="135" spans="1:25" ht="60" x14ac:dyDescent="0.25">
      <c r="A135" s="175" t="s">
        <v>13</v>
      </c>
      <c r="B135" s="171" t="s">
        <v>183</v>
      </c>
      <c r="C135" s="172" t="s">
        <v>25</v>
      </c>
      <c r="D135" s="225">
        <v>48.34</v>
      </c>
      <c r="E135" s="187">
        <v>48.84</v>
      </c>
      <c r="F135" s="332" t="s">
        <v>304</v>
      </c>
      <c r="G135" s="225">
        <f t="shared" si="50"/>
        <v>48.84</v>
      </c>
      <c r="H135" s="91"/>
      <c r="I135" s="35">
        <v>0</v>
      </c>
      <c r="J135" s="107">
        <v>0</v>
      </c>
      <c r="K135" s="126"/>
      <c r="L135" s="466"/>
      <c r="M135" s="427"/>
      <c r="N135" s="427"/>
      <c r="O135" s="427"/>
      <c r="P135" s="427"/>
      <c r="Q135" s="428"/>
      <c r="R135" s="429" t="e">
        <v>#REF!</v>
      </c>
      <c r="S135" s="428"/>
      <c r="T135" s="428"/>
      <c r="U135" s="428"/>
      <c r="V135" s="389"/>
      <c r="W135" s="389"/>
      <c r="X135" s="389"/>
      <c r="Y135" s="389"/>
    </row>
    <row r="136" spans="1:25" ht="30" x14ac:dyDescent="0.25">
      <c r="A136" s="96" t="s">
        <v>13</v>
      </c>
      <c r="B136" s="188" t="s">
        <v>184</v>
      </c>
      <c r="C136" s="166" t="s">
        <v>185</v>
      </c>
      <c r="D136" s="331">
        <v>10</v>
      </c>
      <c r="E136" s="189">
        <v>10</v>
      </c>
      <c r="F136" s="331">
        <v>10</v>
      </c>
      <c r="G136" s="225">
        <f t="shared" si="50"/>
        <v>10</v>
      </c>
      <c r="H136" s="91">
        <v>10</v>
      </c>
      <c r="I136" s="35"/>
      <c r="J136" s="107" t="s">
        <v>28</v>
      </c>
      <c r="K136" s="126"/>
      <c r="L136" s="466"/>
      <c r="M136" s="427"/>
      <c r="N136" s="427"/>
      <c r="O136" s="427"/>
      <c r="P136" s="427"/>
      <c r="Q136" s="428"/>
      <c r="R136" s="429" t="e">
        <v>#REF!</v>
      </c>
      <c r="S136" s="428"/>
      <c r="T136" s="428"/>
      <c r="U136" s="428"/>
      <c r="V136" s="389"/>
      <c r="W136" s="389"/>
      <c r="X136" s="389"/>
      <c r="Y136" s="389"/>
    </row>
    <row r="137" spans="1:25" ht="15.75" x14ac:dyDescent="0.25">
      <c r="A137" s="175" t="s">
        <v>13</v>
      </c>
      <c r="B137" s="162" t="s">
        <v>186</v>
      </c>
      <c r="C137" s="112" t="s">
        <v>187</v>
      </c>
      <c r="D137" s="18">
        <v>1</v>
      </c>
      <c r="E137" s="81">
        <v>1</v>
      </c>
      <c r="F137" s="18">
        <v>1</v>
      </c>
      <c r="G137" s="225">
        <f t="shared" si="50"/>
        <v>1</v>
      </c>
      <c r="H137" s="91">
        <v>1</v>
      </c>
      <c r="I137" s="35"/>
      <c r="J137" s="107" t="s">
        <v>28</v>
      </c>
      <c r="K137" s="144"/>
      <c r="L137" s="472"/>
      <c r="M137" s="427"/>
      <c r="N137" s="427"/>
      <c r="O137" s="427"/>
      <c r="P137" s="427"/>
      <c r="Q137" s="428"/>
      <c r="R137" s="429" t="e">
        <v>#REF!</v>
      </c>
      <c r="S137" s="428"/>
      <c r="T137" s="428"/>
      <c r="U137" s="428"/>
      <c r="V137" s="389"/>
      <c r="W137" s="389"/>
      <c r="X137" s="389"/>
      <c r="Y137" s="389"/>
    </row>
    <row r="138" spans="1:25" ht="47.25" x14ac:dyDescent="0.25">
      <c r="A138" s="175" t="s">
        <v>13</v>
      </c>
      <c r="B138" s="162" t="s">
        <v>188</v>
      </c>
      <c r="C138" s="112" t="s">
        <v>25</v>
      </c>
      <c r="D138" s="18">
        <v>100</v>
      </c>
      <c r="E138" s="81">
        <v>100</v>
      </c>
      <c r="F138" s="18">
        <v>100</v>
      </c>
      <c r="G138" s="225">
        <f t="shared" si="50"/>
        <v>100</v>
      </c>
      <c r="H138" s="91">
        <v>100</v>
      </c>
      <c r="I138" s="35"/>
      <c r="J138" s="107" t="s">
        <v>28</v>
      </c>
      <c r="K138" s="164"/>
      <c r="L138" s="475"/>
      <c r="M138" s="427"/>
      <c r="N138" s="427"/>
      <c r="O138" s="427"/>
      <c r="P138" s="427"/>
      <c r="Q138" s="428"/>
      <c r="R138" s="429" t="e">
        <v>#REF!</v>
      </c>
      <c r="S138" s="428"/>
      <c r="T138" s="428"/>
      <c r="U138" s="428"/>
      <c r="V138" s="389"/>
      <c r="W138" s="389"/>
      <c r="X138" s="389"/>
      <c r="Y138" s="389"/>
    </row>
    <row r="139" spans="1:25" ht="31.5" x14ac:dyDescent="0.25">
      <c r="A139" s="175" t="s">
        <v>13</v>
      </c>
      <c r="B139" s="162" t="s">
        <v>189</v>
      </c>
      <c r="C139" s="112" t="s">
        <v>25</v>
      </c>
      <c r="D139" s="18">
        <v>100</v>
      </c>
      <c r="E139" s="81">
        <v>100</v>
      </c>
      <c r="F139" s="18">
        <v>100</v>
      </c>
      <c r="G139" s="225">
        <f t="shared" si="50"/>
        <v>100</v>
      </c>
      <c r="H139" s="91">
        <v>100</v>
      </c>
      <c r="I139" s="35"/>
      <c r="J139" s="107" t="s">
        <v>28</v>
      </c>
      <c r="K139" s="164"/>
      <c r="L139" s="475"/>
      <c r="M139" s="427"/>
      <c r="N139" s="427"/>
      <c r="O139" s="427"/>
      <c r="P139" s="427"/>
      <c r="Q139" s="428"/>
      <c r="R139" s="429" t="e">
        <v>#REF!</v>
      </c>
      <c r="S139" s="428"/>
      <c r="T139" s="428"/>
      <c r="U139" s="428"/>
      <c r="V139" s="389"/>
      <c r="W139" s="389"/>
      <c r="X139" s="389"/>
      <c r="Y139" s="389"/>
    </row>
    <row r="140" spans="1:25" ht="30" x14ac:dyDescent="0.25">
      <c r="A140" s="96" t="s">
        <v>13</v>
      </c>
      <c r="B140" s="188" t="s">
        <v>190</v>
      </c>
      <c r="C140" s="96" t="s">
        <v>25</v>
      </c>
      <c r="D140" s="360">
        <v>17.8</v>
      </c>
      <c r="E140" s="34">
        <v>17.7</v>
      </c>
      <c r="F140" s="309">
        <v>17.3</v>
      </c>
      <c r="G140" s="225">
        <f t="shared" si="50"/>
        <v>17.7</v>
      </c>
      <c r="H140" s="190">
        <v>17.3</v>
      </c>
      <c r="I140" s="107"/>
      <c r="J140" s="107" t="s">
        <v>28</v>
      </c>
      <c r="K140" s="164"/>
      <c r="L140" s="475"/>
      <c r="M140" s="427"/>
      <c r="N140" s="427"/>
      <c r="O140" s="427"/>
      <c r="P140" s="427"/>
      <c r="Q140" s="428"/>
      <c r="R140" s="429" t="e">
        <v>#REF!</v>
      </c>
      <c r="S140" s="428"/>
      <c r="T140" s="428"/>
      <c r="U140" s="428"/>
      <c r="V140" s="389"/>
      <c r="W140" s="389"/>
      <c r="X140" s="389"/>
      <c r="Y140" s="389"/>
    </row>
    <row r="141" spans="1:25" ht="31.5" x14ac:dyDescent="0.25">
      <c r="A141" s="191" t="s">
        <v>13</v>
      </c>
      <c r="B141" s="158" t="s">
        <v>191</v>
      </c>
      <c r="C141" s="159" t="s">
        <v>25</v>
      </c>
      <c r="D141" s="18">
        <v>12</v>
      </c>
      <c r="E141" s="47">
        <v>12</v>
      </c>
      <c r="F141" s="332">
        <v>12</v>
      </c>
      <c r="G141" s="332">
        <v>100</v>
      </c>
      <c r="H141" s="190"/>
      <c r="I141" s="107"/>
      <c r="J141" s="107"/>
      <c r="K141" s="129"/>
      <c r="L141" s="467"/>
      <c r="M141" s="427"/>
      <c r="N141" s="427"/>
      <c r="O141" s="427"/>
      <c r="P141" s="427"/>
      <c r="Q141" s="428"/>
      <c r="R141" s="429" t="e">
        <v>#REF!</v>
      </c>
      <c r="S141" s="428"/>
      <c r="T141" s="428"/>
      <c r="U141" s="428"/>
      <c r="V141" s="389"/>
      <c r="W141" s="389"/>
      <c r="X141" s="389"/>
      <c r="Y141" s="389"/>
    </row>
    <row r="142" spans="1:25" ht="30" x14ac:dyDescent="0.25">
      <c r="A142" s="96" t="s">
        <v>13</v>
      </c>
      <c r="B142" s="188" t="s">
        <v>192</v>
      </c>
      <c r="C142" s="96" t="s">
        <v>193</v>
      </c>
      <c r="D142" s="361">
        <v>0</v>
      </c>
      <c r="E142" s="186">
        <v>0</v>
      </c>
      <c r="F142" s="333">
        <v>0</v>
      </c>
      <c r="G142" s="333">
        <f>E142</f>
        <v>0</v>
      </c>
      <c r="H142" s="190">
        <v>0</v>
      </c>
      <c r="I142" s="107"/>
      <c r="J142" s="107" t="s">
        <v>194</v>
      </c>
      <c r="K142" s="129"/>
      <c r="L142" s="467"/>
      <c r="M142" s="427"/>
      <c r="N142" s="427"/>
      <c r="O142" s="427"/>
      <c r="P142" s="427"/>
      <c r="Q142" s="428"/>
      <c r="R142" s="429" t="e">
        <v>#REF!</v>
      </c>
      <c r="S142" s="428"/>
      <c r="T142" s="428"/>
      <c r="U142" s="428"/>
      <c r="V142" s="389"/>
      <c r="W142" s="389"/>
      <c r="X142" s="389"/>
      <c r="Y142" s="389"/>
    </row>
    <row r="143" spans="1:25" ht="60" x14ac:dyDescent="0.25">
      <c r="A143" s="96" t="s">
        <v>13</v>
      </c>
      <c r="B143" s="188" t="s">
        <v>195</v>
      </c>
      <c r="C143" s="96" t="s">
        <v>196</v>
      </c>
      <c r="D143" s="361">
        <v>0</v>
      </c>
      <c r="E143" s="186">
        <v>0</v>
      </c>
      <c r="F143" s="333">
        <v>0</v>
      </c>
      <c r="G143" s="333">
        <f t="shared" ref="G143:G154" si="51">E143</f>
        <v>0</v>
      </c>
      <c r="H143" s="190">
        <v>0</v>
      </c>
      <c r="I143" s="107"/>
      <c r="J143" s="107" t="s">
        <v>194</v>
      </c>
      <c r="K143" s="129"/>
      <c r="L143" s="467"/>
      <c r="M143" s="427"/>
      <c r="N143" s="427"/>
      <c r="O143" s="427"/>
      <c r="P143" s="427"/>
      <c r="Q143" s="428"/>
      <c r="R143" s="429" t="e">
        <v>#REF!</v>
      </c>
      <c r="S143" s="428"/>
      <c r="T143" s="428"/>
      <c r="U143" s="428"/>
      <c r="V143" s="389"/>
      <c r="W143" s="389"/>
      <c r="X143" s="389"/>
      <c r="Y143" s="389"/>
    </row>
    <row r="144" spans="1:25" ht="45" x14ac:dyDescent="0.25">
      <c r="A144" s="96" t="s">
        <v>13</v>
      </c>
      <c r="B144" s="188" t="s">
        <v>197</v>
      </c>
      <c r="C144" s="96" t="s">
        <v>25</v>
      </c>
      <c r="D144" s="361">
        <v>87</v>
      </c>
      <c r="E144" s="186" t="s">
        <v>198</v>
      </c>
      <c r="F144" s="333">
        <v>86</v>
      </c>
      <c r="G144" s="333" t="str">
        <f t="shared" si="51"/>
        <v>≥55,0</v>
      </c>
      <c r="H144" s="192">
        <v>86</v>
      </c>
      <c r="I144" s="107"/>
      <c r="J144" s="107" t="s">
        <v>29</v>
      </c>
      <c r="K144" s="36"/>
      <c r="L144" s="426"/>
      <c r="M144" s="427"/>
      <c r="N144" s="427"/>
      <c r="O144" s="427"/>
      <c r="P144" s="427"/>
      <c r="Q144" s="428"/>
      <c r="R144" s="429" t="e">
        <v>#REF!</v>
      </c>
      <c r="S144" s="428"/>
      <c r="T144" s="428"/>
      <c r="U144" s="428"/>
      <c r="V144" s="389"/>
      <c r="W144" s="389"/>
      <c r="X144" s="389"/>
      <c r="Y144" s="389"/>
    </row>
    <row r="145" spans="1:25" ht="30" x14ac:dyDescent="0.25">
      <c r="A145" s="96" t="s">
        <v>13</v>
      </c>
      <c r="B145" s="188" t="s">
        <v>199</v>
      </c>
      <c r="C145" s="96" t="s">
        <v>25</v>
      </c>
      <c r="D145" s="361">
        <v>0</v>
      </c>
      <c r="E145" s="186">
        <v>0</v>
      </c>
      <c r="F145" s="333">
        <v>0</v>
      </c>
      <c r="G145" s="333">
        <f t="shared" si="51"/>
        <v>0</v>
      </c>
      <c r="H145" s="153">
        <v>0</v>
      </c>
      <c r="I145" s="35"/>
      <c r="J145" s="35"/>
      <c r="K145" s="129"/>
      <c r="L145" s="467"/>
      <c r="M145" s="427"/>
      <c r="N145" s="427"/>
      <c r="O145" s="427"/>
      <c r="P145" s="427"/>
      <c r="Q145" s="428"/>
      <c r="R145" s="429" t="e">
        <v>#REF!</v>
      </c>
      <c r="S145" s="428"/>
      <c r="T145" s="428"/>
      <c r="U145" s="428"/>
      <c r="V145" s="389"/>
      <c r="W145" s="389"/>
      <c r="X145" s="389"/>
      <c r="Y145" s="389"/>
    </row>
    <row r="146" spans="1:25" ht="30" x14ac:dyDescent="0.25">
      <c r="A146" s="96" t="s">
        <v>13</v>
      </c>
      <c r="B146" s="188" t="s">
        <v>200</v>
      </c>
      <c r="C146" s="96" t="s">
        <v>25</v>
      </c>
      <c r="D146" s="361">
        <v>94</v>
      </c>
      <c r="E146" s="186" t="s">
        <v>201</v>
      </c>
      <c r="F146" s="333">
        <v>92</v>
      </c>
      <c r="G146" s="333" t="str">
        <f t="shared" si="51"/>
        <v>≥86</v>
      </c>
      <c r="H146" s="193">
        <v>92</v>
      </c>
      <c r="I146" s="35"/>
      <c r="J146" s="107" t="s">
        <v>29</v>
      </c>
      <c r="K146" s="194"/>
      <c r="L146" s="483"/>
      <c r="M146" s="427"/>
      <c r="N146" s="427"/>
      <c r="O146" s="427"/>
      <c r="P146" s="427"/>
      <c r="Q146" s="428"/>
      <c r="R146" s="429" t="e">
        <v>#REF!</v>
      </c>
      <c r="S146" s="428"/>
      <c r="T146" s="428"/>
      <c r="U146" s="428"/>
      <c r="V146" s="389"/>
      <c r="W146" s="389"/>
      <c r="X146" s="389"/>
      <c r="Y146" s="389"/>
    </row>
    <row r="147" spans="1:25" ht="30" x14ac:dyDescent="0.25">
      <c r="A147" s="96" t="s">
        <v>13</v>
      </c>
      <c r="B147" s="188" t="s">
        <v>202</v>
      </c>
      <c r="C147" s="96" t="s">
        <v>25</v>
      </c>
      <c r="D147" s="361">
        <v>99</v>
      </c>
      <c r="E147" s="186">
        <v>95</v>
      </c>
      <c r="F147" s="333">
        <v>98</v>
      </c>
      <c r="G147" s="333">
        <f t="shared" si="51"/>
        <v>95</v>
      </c>
      <c r="H147" s="193">
        <v>98</v>
      </c>
      <c r="I147" s="35"/>
      <c r="J147" s="107" t="s">
        <v>29</v>
      </c>
      <c r="K147" s="129"/>
      <c r="L147" s="467"/>
      <c r="M147" s="427"/>
      <c r="N147" s="427"/>
      <c r="O147" s="427"/>
      <c r="P147" s="427"/>
      <c r="Q147" s="428"/>
      <c r="R147" s="429" t="e">
        <v>#REF!</v>
      </c>
      <c r="S147" s="428"/>
      <c r="T147" s="428"/>
      <c r="U147" s="428"/>
      <c r="V147" s="389"/>
      <c r="W147" s="389"/>
      <c r="X147" s="389"/>
      <c r="Y147" s="389"/>
    </row>
    <row r="148" spans="1:25" ht="30" x14ac:dyDescent="0.25">
      <c r="A148" s="96" t="s">
        <v>13</v>
      </c>
      <c r="B148" s="188" t="s">
        <v>203</v>
      </c>
      <c r="C148" s="96" t="s">
        <v>25</v>
      </c>
      <c r="D148" s="361">
        <v>76</v>
      </c>
      <c r="E148" s="186" t="s">
        <v>204</v>
      </c>
      <c r="F148" s="333">
        <v>72</v>
      </c>
      <c r="G148" s="333" t="str">
        <f t="shared" si="51"/>
        <v>≥76</v>
      </c>
      <c r="H148" s="193">
        <v>72</v>
      </c>
      <c r="I148" s="35"/>
      <c r="J148" s="107" t="s">
        <v>27</v>
      </c>
      <c r="K148" s="195"/>
      <c r="L148" s="484"/>
      <c r="M148" s="427"/>
      <c r="N148" s="427"/>
      <c r="O148" s="427"/>
      <c r="P148" s="427"/>
      <c r="Q148" s="428"/>
      <c r="R148" s="429" t="e">
        <v>#REF!</v>
      </c>
      <c r="S148" s="428"/>
      <c r="T148" s="428"/>
      <c r="U148" s="428"/>
      <c r="V148" s="389"/>
      <c r="W148" s="389"/>
      <c r="X148" s="389"/>
      <c r="Y148" s="389"/>
    </row>
    <row r="149" spans="1:25" ht="30" x14ac:dyDescent="0.25">
      <c r="A149" s="96" t="s">
        <v>13</v>
      </c>
      <c r="B149" s="188" t="s">
        <v>205</v>
      </c>
      <c r="C149" s="96" t="s">
        <v>25</v>
      </c>
      <c r="D149" s="361">
        <v>54</v>
      </c>
      <c r="E149" s="186">
        <v>71</v>
      </c>
      <c r="F149" s="333">
        <v>56.7</v>
      </c>
      <c r="G149" s="333">
        <f t="shared" si="51"/>
        <v>71</v>
      </c>
      <c r="H149" s="196">
        <v>56.7</v>
      </c>
      <c r="I149" s="35"/>
      <c r="J149" s="107" t="s">
        <v>27</v>
      </c>
      <c r="K149" s="197"/>
      <c r="L149" s="485"/>
      <c r="M149" s="427"/>
      <c r="N149" s="427"/>
      <c r="O149" s="427"/>
      <c r="P149" s="427"/>
      <c r="Q149" s="428"/>
      <c r="R149" s="429" t="e">
        <v>#REF!</v>
      </c>
      <c r="S149" s="428"/>
      <c r="T149" s="428"/>
      <c r="U149" s="428"/>
      <c r="V149" s="389"/>
      <c r="W149" s="389"/>
      <c r="X149" s="389"/>
      <c r="Y149" s="389"/>
    </row>
    <row r="150" spans="1:25" ht="60" x14ac:dyDescent="0.25">
      <c r="A150" s="96" t="s">
        <v>13</v>
      </c>
      <c r="B150" s="188" t="s">
        <v>206</v>
      </c>
      <c r="C150" s="96" t="s">
        <v>154</v>
      </c>
      <c r="D150" s="333" t="s">
        <v>207</v>
      </c>
      <c r="E150" s="186" t="s">
        <v>207</v>
      </c>
      <c r="F150" s="333" t="str">
        <f>H150</f>
        <v>&lt;53</v>
      </c>
      <c r="G150" s="333" t="str">
        <f t="shared" si="51"/>
        <v>&lt;53</v>
      </c>
      <c r="H150" s="186" t="s">
        <v>207</v>
      </c>
      <c r="I150" s="35"/>
      <c r="J150" s="107" t="s">
        <v>194</v>
      </c>
      <c r="K150" s="195"/>
      <c r="L150" s="484"/>
      <c r="M150" s="442"/>
      <c r="N150" s="442"/>
      <c r="O150" s="442"/>
      <c r="P150" s="442"/>
      <c r="Q150" s="443"/>
      <c r="R150" s="429" t="e">
        <v>#REF!</v>
      </c>
      <c r="S150" s="443"/>
      <c r="T150" s="443"/>
      <c r="U150" s="443"/>
      <c r="V150" s="444"/>
      <c r="W150" s="444"/>
      <c r="X150" s="444"/>
      <c r="Y150" s="444"/>
    </row>
    <row r="151" spans="1:25" ht="30" x14ac:dyDescent="0.25">
      <c r="A151" s="96" t="s">
        <v>13</v>
      </c>
      <c r="B151" s="188" t="s">
        <v>208</v>
      </c>
      <c r="C151" s="96" t="s">
        <v>154</v>
      </c>
      <c r="D151" s="361">
        <v>0</v>
      </c>
      <c r="E151" s="186">
        <v>0</v>
      </c>
      <c r="F151" s="333">
        <f t="shared" ref="F151:F154" si="52">H151</f>
        <v>0</v>
      </c>
      <c r="G151" s="333">
        <f t="shared" si="51"/>
        <v>0</v>
      </c>
      <c r="H151" s="198">
        <v>0</v>
      </c>
      <c r="I151" s="107"/>
      <c r="J151" s="107" t="s">
        <v>28</v>
      </c>
      <c r="K151" s="144"/>
      <c r="L151" s="472"/>
      <c r="M151" s="442"/>
      <c r="N151" s="442"/>
      <c r="O151" s="442"/>
      <c r="P151" s="442"/>
      <c r="Q151" s="443"/>
      <c r="R151" s="429" t="e">
        <v>#REF!</v>
      </c>
      <c r="S151" s="443"/>
      <c r="T151" s="443"/>
      <c r="U151" s="443"/>
      <c r="V151" s="444"/>
      <c r="W151" s="444"/>
      <c r="X151" s="444"/>
      <c r="Y151" s="444"/>
    </row>
    <row r="152" spans="1:25" ht="30" x14ac:dyDescent="0.25">
      <c r="A152" s="96" t="s">
        <v>13</v>
      </c>
      <c r="B152" s="188" t="s">
        <v>313</v>
      </c>
      <c r="C152" s="96" t="s">
        <v>315</v>
      </c>
      <c r="D152" s="361">
        <v>1</v>
      </c>
      <c r="E152" s="186" t="s">
        <v>209</v>
      </c>
      <c r="F152" s="333" t="str">
        <f t="shared" si="52"/>
        <v>Loại trừ</v>
      </c>
      <c r="G152" s="333" t="str">
        <f t="shared" si="51"/>
        <v>Loại trừ</v>
      </c>
      <c r="H152" s="186" t="s">
        <v>209</v>
      </c>
      <c r="I152" s="107"/>
      <c r="J152" s="107" t="str">
        <f>E152</f>
        <v>Loại trừ</v>
      </c>
      <c r="K152" s="144"/>
      <c r="L152" s="472"/>
      <c r="M152" s="442"/>
      <c r="N152" s="442"/>
      <c r="O152" s="442"/>
      <c r="P152" s="442"/>
      <c r="Q152" s="443"/>
      <c r="R152" s="429" t="e">
        <v>#REF!</v>
      </c>
      <c r="S152" s="443"/>
      <c r="T152" s="443"/>
      <c r="U152" s="443"/>
      <c r="V152" s="444"/>
      <c r="W152" s="444"/>
      <c r="X152" s="444"/>
      <c r="Y152" s="444"/>
    </row>
    <row r="153" spans="1:25" ht="45" x14ac:dyDescent="0.25">
      <c r="A153" s="96" t="s">
        <v>13</v>
      </c>
      <c r="B153" s="188" t="s">
        <v>210</v>
      </c>
      <c r="C153" s="96" t="s">
        <v>25</v>
      </c>
      <c r="D153" s="362">
        <v>95.9</v>
      </c>
      <c r="E153" s="186" t="s">
        <v>211</v>
      </c>
      <c r="F153" s="333">
        <f t="shared" si="52"/>
        <v>52</v>
      </c>
      <c r="G153" s="333" t="str">
        <f t="shared" si="51"/>
        <v>≥92</v>
      </c>
      <c r="H153" s="199">
        <v>52</v>
      </c>
      <c r="I153" s="107"/>
      <c r="J153" s="107" t="s">
        <v>28</v>
      </c>
      <c r="K153" s="195"/>
      <c r="L153" s="484"/>
      <c r="M153" s="427"/>
      <c r="N153" s="427"/>
      <c r="O153" s="427"/>
      <c r="P153" s="427"/>
      <c r="Q153" s="428"/>
      <c r="R153" s="429" t="e">
        <v>#REF!</v>
      </c>
      <c r="S153" s="428"/>
      <c r="T153" s="428"/>
      <c r="U153" s="428"/>
      <c r="V153" s="389"/>
      <c r="W153" s="389"/>
      <c r="X153" s="389"/>
      <c r="Y153" s="389"/>
    </row>
    <row r="154" spans="1:25" ht="30" x14ac:dyDescent="0.25">
      <c r="A154" s="96" t="s">
        <v>13</v>
      </c>
      <c r="B154" s="188" t="s">
        <v>212</v>
      </c>
      <c r="C154" s="96" t="s">
        <v>25</v>
      </c>
      <c r="D154" s="362">
        <v>97.4</v>
      </c>
      <c r="E154" s="186" t="s">
        <v>213</v>
      </c>
      <c r="F154" s="333">
        <f t="shared" si="52"/>
        <v>49.6</v>
      </c>
      <c r="G154" s="333" t="str">
        <f t="shared" si="51"/>
        <v>≥97</v>
      </c>
      <c r="H154" s="199">
        <v>49.6</v>
      </c>
      <c r="I154" s="107"/>
      <c r="J154" s="107" t="s">
        <v>28</v>
      </c>
      <c r="K154" s="195"/>
      <c r="L154" s="484"/>
      <c r="M154" s="427"/>
      <c r="N154" s="427"/>
      <c r="O154" s="427"/>
      <c r="P154" s="427"/>
      <c r="Q154" s="428"/>
      <c r="R154" s="429"/>
      <c r="S154" s="428"/>
      <c r="T154" s="428"/>
      <c r="U154" s="428"/>
      <c r="V154" s="389"/>
      <c r="W154" s="389"/>
      <c r="X154" s="389"/>
      <c r="Y154" s="389"/>
    </row>
    <row r="155" spans="1:25" ht="31.5" customHeight="1" x14ac:dyDescent="0.25">
      <c r="A155" s="154">
        <v>6</v>
      </c>
      <c r="B155" s="550" t="s">
        <v>214</v>
      </c>
      <c r="C155" s="551"/>
      <c r="D155" s="551"/>
      <c r="E155" s="551"/>
      <c r="F155" s="551"/>
      <c r="G155" s="551"/>
      <c r="H155" s="551"/>
      <c r="I155" s="551"/>
      <c r="J155" s="551"/>
      <c r="K155" s="552"/>
      <c r="L155" s="486"/>
      <c r="M155" s="442"/>
      <c r="N155" s="442"/>
      <c r="O155" s="442"/>
      <c r="P155" s="442"/>
      <c r="Q155" s="443"/>
      <c r="R155" s="429"/>
      <c r="S155" s="443"/>
      <c r="T155" s="443"/>
      <c r="U155" s="443"/>
      <c r="V155" s="443"/>
      <c r="W155" s="443"/>
      <c r="X155" s="443"/>
      <c r="Y155" s="443"/>
    </row>
    <row r="156" spans="1:25" ht="31.5" x14ac:dyDescent="0.25">
      <c r="A156" s="157" t="s">
        <v>13</v>
      </c>
      <c r="B156" s="174" t="s">
        <v>215</v>
      </c>
      <c r="C156" s="172" t="s">
        <v>25</v>
      </c>
      <c r="D156" s="201">
        <v>100</v>
      </c>
      <c r="E156" s="201">
        <v>100</v>
      </c>
      <c r="F156" s="201">
        <f>H156</f>
        <v>100</v>
      </c>
      <c r="G156" s="201">
        <f>E156</f>
        <v>100</v>
      </c>
      <c r="H156" s="18">
        <v>100</v>
      </c>
      <c r="I156" s="107" t="s">
        <v>28</v>
      </c>
      <c r="J156" s="107" t="s">
        <v>28</v>
      </c>
      <c r="K156" s="200"/>
      <c r="L156" s="486"/>
      <c r="M156" s="442"/>
      <c r="N156" s="442"/>
      <c r="O156" s="442"/>
      <c r="P156" s="442"/>
      <c r="Q156" s="443"/>
      <c r="R156" s="429"/>
      <c r="S156" s="443"/>
      <c r="T156" s="443"/>
      <c r="U156" s="443"/>
      <c r="V156" s="443"/>
      <c r="W156" s="443"/>
      <c r="X156" s="443"/>
      <c r="Y156" s="443"/>
    </row>
    <row r="157" spans="1:25" ht="31.5" x14ac:dyDescent="0.25">
      <c r="A157" s="157" t="s">
        <v>13</v>
      </c>
      <c r="B157" s="174" t="s">
        <v>216</v>
      </c>
      <c r="C157" s="172" t="s">
        <v>25</v>
      </c>
      <c r="D157" s="201">
        <v>100</v>
      </c>
      <c r="E157" s="201">
        <v>100</v>
      </c>
      <c r="F157" s="201">
        <f t="shared" ref="F157:F158" si="53">H157</f>
        <v>100</v>
      </c>
      <c r="G157" s="201">
        <f t="shared" ref="G157:G159" si="54">E157</f>
        <v>100</v>
      </c>
      <c r="H157" s="18">
        <v>100</v>
      </c>
      <c r="I157" s="107" t="s">
        <v>27</v>
      </c>
      <c r="J157" s="107" t="s">
        <v>28</v>
      </c>
      <c r="K157" s="195"/>
      <c r="L157" s="484"/>
      <c r="M157" s="427"/>
      <c r="N157" s="427"/>
      <c r="O157" s="427"/>
      <c r="P157" s="427"/>
      <c r="Q157" s="428"/>
      <c r="R157" s="429" t="e">
        <f>#REF!-#REF!</f>
        <v>#REF!</v>
      </c>
      <c r="S157" s="428"/>
      <c r="T157" s="428"/>
      <c r="U157" s="428"/>
      <c r="V157" s="428"/>
      <c r="W157" s="428"/>
      <c r="X157" s="428"/>
      <c r="Y157" s="428"/>
    </row>
    <row r="158" spans="1:25" ht="31.5" x14ac:dyDescent="0.25">
      <c r="A158" s="157" t="s">
        <v>13</v>
      </c>
      <c r="B158" s="174" t="s">
        <v>217</v>
      </c>
      <c r="C158" s="172" t="s">
        <v>25</v>
      </c>
      <c r="D158" s="309">
        <v>87.15</v>
      </c>
      <c r="E158" s="214">
        <v>88.5</v>
      </c>
      <c r="F158" s="336">
        <f t="shared" si="53"/>
        <v>87.15</v>
      </c>
      <c r="G158" s="337">
        <f t="shared" si="54"/>
        <v>88.5</v>
      </c>
      <c r="H158" s="6">
        <v>87.15</v>
      </c>
      <c r="I158" s="107" t="s">
        <v>29</v>
      </c>
      <c r="J158" s="107" t="s">
        <v>28</v>
      </c>
      <c r="K158" s="190"/>
      <c r="L158" s="487"/>
      <c r="M158" s="427"/>
      <c r="N158" s="427"/>
      <c r="O158" s="427"/>
      <c r="P158" s="427"/>
      <c r="Q158" s="428"/>
      <c r="R158" s="429" t="e">
        <f>#REF!-#REF!</f>
        <v>#REF!</v>
      </c>
      <c r="S158" s="428"/>
      <c r="T158" s="428"/>
      <c r="U158" s="428"/>
      <c r="V158" s="428"/>
      <c r="W158" s="428"/>
      <c r="X158" s="428"/>
      <c r="Y158" s="428"/>
    </row>
    <row r="159" spans="1:25" ht="31.5" x14ac:dyDescent="0.25">
      <c r="A159" s="157" t="s">
        <v>13</v>
      </c>
      <c r="B159" s="174" t="s">
        <v>218</v>
      </c>
      <c r="C159" s="172" t="s">
        <v>25</v>
      </c>
      <c r="D159" s="309">
        <v>32.5</v>
      </c>
      <c r="E159" s="214">
        <v>33</v>
      </c>
      <c r="F159" s="337">
        <v>30</v>
      </c>
      <c r="G159" s="201">
        <f t="shared" si="54"/>
        <v>33</v>
      </c>
      <c r="H159" s="6">
        <v>32.5</v>
      </c>
      <c r="I159" s="107" t="s">
        <v>28</v>
      </c>
      <c r="J159" s="107" t="s">
        <v>27</v>
      </c>
      <c r="K159" s="190"/>
      <c r="L159" s="487"/>
      <c r="M159" s="427"/>
      <c r="N159" s="427"/>
      <c r="O159" s="427"/>
      <c r="P159" s="427"/>
      <c r="Q159" s="428"/>
      <c r="R159" s="429" t="e">
        <f>#REF!-#REF!</f>
        <v>#REF!</v>
      </c>
      <c r="S159" s="428"/>
      <c r="T159" s="428"/>
      <c r="U159" s="428"/>
      <c r="V159" s="428"/>
      <c r="W159" s="428"/>
      <c r="X159" s="428"/>
      <c r="Y159" s="428"/>
    </row>
    <row r="160" spans="1:25" ht="31.5" x14ac:dyDescent="0.25">
      <c r="A160" s="154">
        <v>7</v>
      </c>
      <c r="B160" s="176" t="s">
        <v>219</v>
      </c>
      <c r="C160" s="134" t="s">
        <v>25</v>
      </c>
      <c r="D160" s="334">
        <v>99</v>
      </c>
      <c r="E160" s="223">
        <v>99</v>
      </c>
      <c r="F160" s="338">
        <v>99</v>
      </c>
      <c r="G160" s="334">
        <f>E160</f>
        <v>99</v>
      </c>
      <c r="H160" s="177">
        <v>99</v>
      </c>
      <c r="I160" s="107" t="s">
        <v>28</v>
      </c>
      <c r="J160" s="107" t="s">
        <v>28</v>
      </c>
      <c r="K160" s="195"/>
      <c r="L160" s="484"/>
      <c r="M160" s="427"/>
      <c r="N160" s="427"/>
      <c r="O160" s="427"/>
      <c r="P160" s="427"/>
      <c r="Q160" s="428"/>
      <c r="R160" s="429" t="e">
        <f>#REF!-#REF!</f>
        <v>#REF!</v>
      </c>
      <c r="S160" s="428"/>
      <c r="T160" s="428"/>
      <c r="U160" s="428"/>
      <c r="V160" s="389"/>
      <c r="W160" s="389"/>
      <c r="X160" s="389"/>
      <c r="Y160" s="389"/>
    </row>
    <row r="161" spans="1:25" ht="31.5" x14ac:dyDescent="0.25">
      <c r="A161" s="154">
        <v>8</v>
      </c>
      <c r="B161" s="176" t="s">
        <v>220</v>
      </c>
      <c r="C161" s="134" t="s">
        <v>25</v>
      </c>
      <c r="D161" s="334">
        <v>100</v>
      </c>
      <c r="E161" s="224">
        <v>100</v>
      </c>
      <c r="F161" s="334">
        <v>100</v>
      </c>
      <c r="G161" s="334">
        <f t="shared" ref="G161:G162" si="55">E161</f>
        <v>100</v>
      </c>
      <c r="H161" s="120">
        <v>100</v>
      </c>
      <c r="I161" s="107" t="s">
        <v>27</v>
      </c>
      <c r="J161" s="107" t="s">
        <v>29</v>
      </c>
      <c r="K161" s="202"/>
      <c r="L161" s="488"/>
      <c r="M161" s="427"/>
      <c r="N161" s="427"/>
      <c r="O161" s="427"/>
      <c r="P161" s="427"/>
      <c r="Q161" s="428"/>
      <c r="R161" s="429" t="e">
        <f>#REF!-#REF!</f>
        <v>#REF!</v>
      </c>
      <c r="S161" s="428"/>
      <c r="T161" s="428"/>
      <c r="U161" s="428"/>
      <c r="V161" s="389"/>
      <c r="W161" s="389"/>
      <c r="X161" s="389"/>
      <c r="Y161" s="389"/>
    </row>
    <row r="162" spans="1:25" ht="31.5" x14ac:dyDescent="0.25">
      <c r="A162" s="154">
        <v>9</v>
      </c>
      <c r="B162" s="176" t="s">
        <v>221</v>
      </c>
      <c r="C162" s="134" t="s">
        <v>25</v>
      </c>
      <c r="D162" s="334">
        <v>100</v>
      </c>
      <c r="E162" s="224">
        <v>100</v>
      </c>
      <c r="F162" s="334">
        <v>100</v>
      </c>
      <c r="G162" s="334">
        <f t="shared" si="55"/>
        <v>100</v>
      </c>
      <c r="H162" s="120">
        <v>100</v>
      </c>
      <c r="I162" s="107" t="s">
        <v>27</v>
      </c>
      <c r="J162" s="107" t="s">
        <v>29</v>
      </c>
      <c r="K162" s="202"/>
      <c r="L162" s="488"/>
      <c r="M162" s="427"/>
      <c r="N162" s="427"/>
      <c r="O162" s="427"/>
      <c r="P162" s="427"/>
      <c r="Q162" s="428"/>
      <c r="R162" s="429"/>
      <c r="S162" s="428"/>
      <c r="T162" s="428"/>
      <c r="U162" s="428"/>
      <c r="V162" s="389"/>
      <c r="W162" s="389"/>
      <c r="X162" s="389"/>
      <c r="Y162" s="389"/>
    </row>
    <row r="163" spans="1:25" ht="31.5" x14ac:dyDescent="0.25">
      <c r="A163" s="132" t="s">
        <v>222</v>
      </c>
      <c r="B163" s="133" t="s">
        <v>223</v>
      </c>
      <c r="C163" s="203"/>
      <c r="D163" s="333"/>
      <c r="E163" s="219"/>
      <c r="F163" s="20"/>
      <c r="G163" s="20"/>
      <c r="H163" s="120"/>
      <c r="I163" s="107" t="s">
        <v>28</v>
      </c>
      <c r="J163" s="107"/>
      <c r="K163" s="202"/>
      <c r="L163" s="488"/>
      <c r="M163" s="427"/>
      <c r="N163" s="427"/>
      <c r="O163" s="427"/>
      <c r="P163" s="427"/>
      <c r="Q163" s="428"/>
      <c r="R163" s="429"/>
      <c r="S163" s="428"/>
      <c r="T163" s="428"/>
      <c r="U163" s="428"/>
      <c r="V163" s="389"/>
      <c r="W163" s="389"/>
      <c r="X163" s="389"/>
      <c r="Y163" s="389"/>
    </row>
    <row r="164" spans="1:25" ht="47.25" x14ac:dyDescent="0.25">
      <c r="A164" s="204">
        <v>1</v>
      </c>
      <c r="B164" s="205" t="s">
        <v>224</v>
      </c>
      <c r="C164" s="206" t="s">
        <v>25</v>
      </c>
      <c r="D164" s="207">
        <v>47.25</v>
      </c>
      <c r="E164" s="11">
        <v>50</v>
      </c>
      <c r="F164" s="207">
        <f>E164</f>
        <v>50</v>
      </c>
      <c r="G164" s="207">
        <f>E164</f>
        <v>50</v>
      </c>
      <c r="H164" s="207">
        <v>50</v>
      </c>
      <c r="I164" s="107" t="s">
        <v>28</v>
      </c>
      <c r="J164" s="107" t="s">
        <v>28</v>
      </c>
      <c r="K164" s="202"/>
      <c r="L164" s="488"/>
      <c r="M164" s="427"/>
      <c r="N164" s="427"/>
      <c r="O164" s="427"/>
      <c r="P164" s="427"/>
      <c r="Q164" s="428"/>
      <c r="R164" s="429"/>
      <c r="S164" s="428"/>
      <c r="T164" s="428"/>
      <c r="U164" s="428"/>
      <c r="V164" s="389"/>
      <c r="W164" s="389"/>
      <c r="X164" s="389"/>
      <c r="Y164" s="389"/>
    </row>
    <row r="165" spans="1:25" ht="31.5" x14ac:dyDescent="0.25">
      <c r="A165" s="204">
        <v>2</v>
      </c>
      <c r="B165" s="205" t="s">
        <v>225</v>
      </c>
      <c r="C165" s="206" t="s">
        <v>25</v>
      </c>
      <c r="D165" s="363" t="s">
        <v>226</v>
      </c>
      <c r="E165" s="225" t="s">
        <v>226</v>
      </c>
      <c r="F165" s="207" t="str">
        <f>E165</f>
        <v>Không có</v>
      </c>
      <c r="G165" s="207" t="str">
        <f t="shared" ref="G165:G169" si="56">E165</f>
        <v>Không có</v>
      </c>
      <c r="H165" s="207" t="s">
        <v>226</v>
      </c>
      <c r="I165" s="107" t="s">
        <v>29</v>
      </c>
      <c r="J165" s="107" t="s">
        <v>28</v>
      </c>
      <c r="K165" s="202"/>
      <c r="L165" s="488"/>
      <c r="M165" s="427"/>
      <c r="N165" s="427"/>
      <c r="O165" s="427"/>
      <c r="P165" s="427"/>
      <c r="Q165" s="428"/>
      <c r="R165" s="429"/>
      <c r="S165" s="428"/>
      <c r="T165" s="428"/>
      <c r="U165" s="428"/>
      <c r="V165" s="389"/>
      <c r="W165" s="389"/>
      <c r="X165" s="389"/>
      <c r="Y165" s="389"/>
    </row>
    <row r="166" spans="1:25" ht="47.25" x14ac:dyDescent="0.25">
      <c r="A166" s="204">
        <v>3</v>
      </c>
      <c r="B166" s="205" t="s">
        <v>227</v>
      </c>
      <c r="C166" s="206" t="s">
        <v>25</v>
      </c>
      <c r="D166" s="207">
        <v>100</v>
      </c>
      <c r="E166" s="11">
        <v>100</v>
      </c>
      <c r="F166" s="207">
        <f t="shared" ref="F166:F169" si="57">E166</f>
        <v>100</v>
      </c>
      <c r="G166" s="207">
        <f t="shared" si="56"/>
        <v>100</v>
      </c>
      <c r="H166" s="207">
        <v>100</v>
      </c>
      <c r="I166" s="107"/>
      <c r="J166" s="107" t="s">
        <v>28</v>
      </c>
      <c r="K166" s="202"/>
      <c r="L166" s="488"/>
      <c r="M166" s="427"/>
      <c r="N166" s="427"/>
      <c r="O166" s="427"/>
      <c r="P166" s="427"/>
      <c r="Q166" s="428"/>
      <c r="R166" s="429"/>
      <c r="S166" s="428"/>
      <c r="T166" s="428"/>
      <c r="U166" s="428"/>
      <c r="V166" s="389"/>
      <c r="W166" s="389"/>
      <c r="X166" s="389"/>
      <c r="Y166" s="389"/>
    </row>
    <row r="167" spans="1:25" ht="78.75" x14ac:dyDescent="0.25">
      <c r="A167" s="204">
        <v>4</v>
      </c>
      <c r="B167" s="124" t="s">
        <v>228</v>
      </c>
      <c r="C167" s="206" t="s">
        <v>25</v>
      </c>
      <c r="D167" s="363" t="s">
        <v>226</v>
      </c>
      <c r="E167" s="225" t="s">
        <v>226</v>
      </c>
      <c r="F167" s="207" t="str">
        <f t="shared" si="57"/>
        <v>Không có</v>
      </c>
      <c r="G167" s="207" t="str">
        <f t="shared" si="56"/>
        <v>Không có</v>
      </c>
      <c r="H167" s="207" t="s">
        <v>226</v>
      </c>
      <c r="I167" s="107" t="s">
        <v>29</v>
      </c>
      <c r="J167" s="107" t="s">
        <v>28</v>
      </c>
      <c r="K167" s="202"/>
      <c r="L167" s="488"/>
      <c r="M167" s="427"/>
      <c r="N167" s="427"/>
      <c r="O167" s="427"/>
      <c r="P167" s="427"/>
      <c r="Q167" s="428"/>
      <c r="R167" s="429"/>
      <c r="S167" s="428"/>
      <c r="T167" s="428"/>
      <c r="U167" s="428"/>
      <c r="V167" s="389"/>
      <c r="W167" s="389"/>
      <c r="X167" s="389"/>
      <c r="Y167" s="389"/>
    </row>
    <row r="168" spans="1:25" ht="47.25" x14ac:dyDescent="0.25">
      <c r="A168" s="204">
        <v>5</v>
      </c>
      <c r="B168" s="124" t="s">
        <v>229</v>
      </c>
      <c r="C168" s="206" t="s">
        <v>25</v>
      </c>
      <c r="D168" s="207">
        <v>100</v>
      </c>
      <c r="E168" s="11">
        <v>100</v>
      </c>
      <c r="F168" s="207">
        <f t="shared" si="57"/>
        <v>100</v>
      </c>
      <c r="G168" s="207">
        <f t="shared" si="56"/>
        <v>100</v>
      </c>
      <c r="H168" s="120">
        <v>100</v>
      </c>
      <c r="I168" s="107" t="s">
        <v>29</v>
      </c>
      <c r="J168" s="107" t="s">
        <v>28</v>
      </c>
      <c r="K168" s="202"/>
      <c r="L168" s="488"/>
      <c r="M168" s="427"/>
      <c r="N168" s="427"/>
      <c r="O168" s="427"/>
      <c r="P168" s="427"/>
      <c r="Q168" s="428"/>
      <c r="R168" s="429"/>
      <c r="S168" s="428"/>
      <c r="T168" s="428"/>
      <c r="U168" s="428"/>
      <c r="V168" s="389"/>
      <c r="W168" s="389"/>
      <c r="X168" s="389"/>
      <c r="Y168" s="389"/>
    </row>
    <row r="169" spans="1:25" ht="47.25" x14ac:dyDescent="0.25">
      <c r="A169" s="204">
        <v>6</v>
      </c>
      <c r="B169" s="208" t="s">
        <v>230</v>
      </c>
      <c r="C169" s="206" t="s">
        <v>25</v>
      </c>
      <c r="D169" s="363" t="s">
        <v>226</v>
      </c>
      <c r="E169" s="225" t="s">
        <v>226</v>
      </c>
      <c r="F169" s="207" t="str">
        <f t="shared" si="57"/>
        <v>Không có</v>
      </c>
      <c r="G169" s="207" t="str">
        <f t="shared" si="56"/>
        <v>Không có</v>
      </c>
      <c r="H169" s="207" t="s">
        <v>226</v>
      </c>
      <c r="I169" s="107" t="s">
        <v>29</v>
      </c>
      <c r="J169" s="107"/>
      <c r="K169" s="202"/>
      <c r="L169" s="488"/>
      <c r="M169" s="427"/>
      <c r="N169" s="427"/>
      <c r="O169" s="427"/>
      <c r="P169" s="427"/>
      <c r="Q169" s="428"/>
      <c r="R169" s="429"/>
      <c r="S169" s="428"/>
      <c r="T169" s="428"/>
      <c r="U169" s="428"/>
      <c r="V169" s="389"/>
      <c r="W169" s="389"/>
      <c r="X169" s="389"/>
      <c r="Y169" s="389"/>
    </row>
    <row r="170" spans="1:25" ht="31.5" x14ac:dyDescent="0.25">
      <c r="A170" s="127" t="s">
        <v>300</v>
      </c>
      <c r="B170" s="133" t="s">
        <v>231</v>
      </c>
      <c r="C170" s="147"/>
      <c r="D170" s="12">
        <v>52</v>
      </c>
      <c r="E170" s="219"/>
      <c r="F170" s="20"/>
      <c r="G170" s="20"/>
      <c r="H170" s="120"/>
      <c r="I170" s="107" t="s">
        <v>29</v>
      </c>
      <c r="J170" s="107"/>
      <c r="K170" s="202"/>
      <c r="L170" s="488"/>
      <c r="M170" s="427"/>
      <c r="N170" s="427"/>
      <c r="O170" s="427"/>
      <c r="P170" s="427"/>
      <c r="Q170" s="428"/>
      <c r="R170" s="429"/>
      <c r="S170" s="428"/>
      <c r="T170" s="428"/>
      <c r="U170" s="428"/>
      <c r="V170" s="389"/>
      <c r="W170" s="389"/>
      <c r="X170" s="389"/>
      <c r="Y170" s="389"/>
    </row>
    <row r="171" spans="1:25" ht="57" customHeight="1" x14ac:dyDescent="0.25">
      <c r="A171" s="145">
        <v>1</v>
      </c>
      <c r="B171" s="209" t="s">
        <v>232</v>
      </c>
      <c r="C171" s="210" t="s">
        <v>25</v>
      </c>
      <c r="D171" s="326" t="s">
        <v>233</v>
      </c>
      <c r="E171" s="153" t="s">
        <v>233</v>
      </c>
      <c r="F171" s="153" t="s">
        <v>233</v>
      </c>
      <c r="G171" s="326" t="str">
        <f>E171</f>
        <v>&gt;90</v>
      </c>
      <c r="H171" s="120" t="str">
        <f>E171</f>
        <v>&gt;90</v>
      </c>
      <c r="I171" s="107" t="s">
        <v>29</v>
      </c>
      <c r="J171" s="107" t="s">
        <v>28</v>
      </c>
      <c r="K171" s="510" t="s">
        <v>319</v>
      </c>
      <c r="L171" s="488"/>
      <c r="M171" s="427"/>
      <c r="N171" s="427"/>
      <c r="O171" s="427"/>
      <c r="P171" s="427"/>
      <c r="Q171" s="428"/>
      <c r="R171" s="429"/>
      <c r="S171" s="428"/>
      <c r="T171" s="428"/>
      <c r="U171" s="428"/>
      <c r="V171" s="389"/>
      <c r="W171" s="389"/>
      <c r="X171" s="389"/>
      <c r="Y171" s="389"/>
    </row>
    <row r="172" spans="1:25" ht="57" customHeight="1" x14ac:dyDescent="0.25">
      <c r="A172" s="145">
        <v>2</v>
      </c>
      <c r="B172" s="209" t="s">
        <v>234</v>
      </c>
      <c r="C172" s="210" t="s">
        <v>25</v>
      </c>
      <c r="D172" s="225" t="s">
        <v>235</v>
      </c>
      <c r="E172" s="187" t="s">
        <v>235</v>
      </c>
      <c r="F172" s="187" t="s">
        <v>235</v>
      </c>
      <c r="G172" s="326" t="str">
        <f t="shared" ref="G172:G175" si="58">E172</f>
        <v>&gt;=75</v>
      </c>
      <c r="H172" s="120" t="str">
        <f>E172</f>
        <v>&gt;=75</v>
      </c>
      <c r="I172" s="107" t="s">
        <v>27</v>
      </c>
      <c r="J172" s="107" t="s">
        <v>28</v>
      </c>
      <c r="K172" s="511"/>
      <c r="L172" s="488"/>
      <c r="M172" s="427"/>
      <c r="N172" s="427"/>
      <c r="O172" s="427"/>
      <c r="P172" s="427"/>
      <c r="Q172" s="428"/>
      <c r="R172" s="429"/>
      <c r="S172" s="428"/>
      <c r="T172" s="428"/>
      <c r="U172" s="428"/>
      <c r="V172" s="389"/>
      <c r="W172" s="389"/>
      <c r="X172" s="389"/>
      <c r="Y172" s="389"/>
    </row>
    <row r="173" spans="1:25" ht="57" customHeight="1" x14ac:dyDescent="0.25">
      <c r="A173" s="145"/>
      <c r="B173" s="209" t="s">
        <v>236</v>
      </c>
      <c r="C173" s="150" t="s">
        <v>25</v>
      </c>
      <c r="D173" s="11">
        <v>100</v>
      </c>
      <c r="E173" s="11">
        <v>100</v>
      </c>
      <c r="F173" s="11">
        <v>100</v>
      </c>
      <c r="G173" s="326">
        <f t="shared" si="58"/>
        <v>100</v>
      </c>
      <c r="H173" s="11">
        <v>100</v>
      </c>
      <c r="I173" s="186">
        <v>0</v>
      </c>
      <c r="J173" s="186"/>
      <c r="K173" s="512"/>
      <c r="L173" s="488"/>
      <c r="M173" s="427"/>
      <c r="N173" s="427"/>
      <c r="O173" s="427"/>
      <c r="P173" s="427"/>
      <c r="Q173" s="428"/>
      <c r="R173" s="429"/>
      <c r="S173" s="428"/>
      <c r="T173" s="428"/>
      <c r="U173" s="428"/>
      <c r="V173" s="389"/>
      <c r="W173" s="389"/>
      <c r="X173" s="389"/>
      <c r="Y173" s="389"/>
    </row>
    <row r="174" spans="1:25" ht="15.75" x14ac:dyDescent="0.25">
      <c r="A174" s="145">
        <v>3</v>
      </c>
      <c r="B174" s="209" t="s">
        <v>237</v>
      </c>
      <c r="C174" s="150" t="s">
        <v>25</v>
      </c>
      <c r="D174" s="11">
        <v>100</v>
      </c>
      <c r="E174" s="11">
        <v>100</v>
      </c>
      <c r="F174" s="11">
        <v>100</v>
      </c>
      <c r="G174" s="326">
        <f t="shared" si="58"/>
        <v>100</v>
      </c>
      <c r="H174" s="11">
        <v>100</v>
      </c>
      <c r="I174" s="107" t="s">
        <v>209</v>
      </c>
      <c r="J174" s="107" t="s">
        <v>209</v>
      </c>
      <c r="K174" s="202"/>
      <c r="L174" s="488"/>
      <c r="M174" s="427"/>
      <c r="N174" s="427"/>
      <c r="O174" s="427"/>
      <c r="P174" s="427"/>
      <c r="Q174" s="428"/>
      <c r="R174" s="429"/>
      <c r="S174" s="428"/>
      <c r="T174" s="428"/>
      <c r="U174" s="428"/>
      <c r="V174" s="389"/>
      <c r="W174" s="389"/>
      <c r="X174" s="389"/>
      <c r="Y174" s="389"/>
    </row>
    <row r="175" spans="1:25" ht="47.25" x14ac:dyDescent="0.25">
      <c r="A175" s="145">
        <v>4</v>
      </c>
      <c r="B175" s="209" t="s">
        <v>316</v>
      </c>
      <c r="C175" s="150" t="s">
        <v>25</v>
      </c>
      <c r="D175" s="11">
        <v>100</v>
      </c>
      <c r="E175" s="11">
        <v>100</v>
      </c>
      <c r="F175" s="11">
        <v>100</v>
      </c>
      <c r="G175" s="326">
        <f t="shared" si="58"/>
        <v>100</v>
      </c>
      <c r="H175" s="11">
        <v>100</v>
      </c>
      <c r="I175" s="107" t="s">
        <v>29</v>
      </c>
      <c r="J175" s="107" t="s">
        <v>28</v>
      </c>
      <c r="K175" s="202"/>
      <c r="L175" s="488"/>
      <c r="M175" s="427"/>
      <c r="N175" s="427"/>
      <c r="O175" s="427"/>
      <c r="P175" s="427"/>
      <c r="Q175" s="428"/>
      <c r="R175" s="429"/>
      <c r="S175" s="428"/>
      <c r="T175" s="428"/>
      <c r="U175" s="428"/>
      <c r="V175" s="389"/>
      <c r="W175" s="389"/>
      <c r="X175" s="389"/>
      <c r="Y175" s="389"/>
    </row>
    <row r="176" spans="1:25" ht="63" x14ac:dyDescent="0.25">
      <c r="A176" s="145">
        <v>5</v>
      </c>
      <c r="B176" s="209" t="s">
        <v>317</v>
      </c>
      <c r="C176" s="150" t="s">
        <v>25</v>
      </c>
      <c r="D176" s="11">
        <v>100</v>
      </c>
      <c r="E176" s="11">
        <v>100</v>
      </c>
      <c r="F176" s="11">
        <v>100</v>
      </c>
      <c r="G176" s="326">
        <f>E176</f>
        <v>100</v>
      </c>
      <c r="H176" s="11">
        <v>100</v>
      </c>
      <c r="I176" s="107" t="s">
        <v>29</v>
      </c>
      <c r="J176" s="107" t="s">
        <v>28</v>
      </c>
      <c r="K176" s="202"/>
      <c r="L176" s="488"/>
      <c r="M176" s="427"/>
      <c r="N176" s="427"/>
      <c r="O176" s="427"/>
      <c r="P176" s="427"/>
      <c r="Q176" s="428"/>
      <c r="R176" s="429"/>
      <c r="S176" s="428"/>
      <c r="T176" s="428"/>
      <c r="U176" s="428"/>
      <c r="V176" s="389"/>
      <c r="W176" s="389"/>
      <c r="X176" s="389"/>
      <c r="Y176" s="389"/>
    </row>
    <row r="177" spans="1:25" ht="45" x14ac:dyDescent="0.25">
      <c r="A177" s="145">
        <v>6</v>
      </c>
      <c r="B177" s="209" t="s">
        <v>238</v>
      </c>
      <c r="C177" s="150"/>
      <c r="D177" s="11" t="s">
        <v>239</v>
      </c>
      <c r="E177" s="11" t="s">
        <v>239</v>
      </c>
      <c r="F177" s="120" t="s">
        <v>240</v>
      </c>
      <c r="G177" s="11" t="str">
        <f>E177</f>
        <v>Giảm 5%</v>
      </c>
      <c r="H177" s="120" t="s">
        <v>240</v>
      </c>
      <c r="I177" s="35"/>
      <c r="J177" s="107" t="s">
        <v>28</v>
      </c>
      <c r="K177" s="195"/>
      <c r="L177" s="484"/>
      <c r="M177" s="427"/>
      <c r="N177" s="427"/>
      <c r="O177" s="427"/>
      <c r="P177" s="427"/>
      <c r="Q177" s="428"/>
      <c r="R177" s="429" t="e">
        <f>#REF!-#REF!</f>
        <v>#REF!</v>
      </c>
      <c r="S177" s="428"/>
      <c r="T177" s="428"/>
      <c r="U177" s="428"/>
      <c r="V177" s="389"/>
      <c r="W177" s="389"/>
      <c r="X177" s="389"/>
      <c r="Y177" s="389"/>
    </row>
  </sheetData>
  <mergeCells count="37">
    <mergeCell ref="B155:K155"/>
    <mergeCell ref="A1:K1"/>
    <mergeCell ref="A2:K2"/>
    <mergeCell ref="A3:A4"/>
    <mergeCell ref="B3:B4"/>
    <mergeCell ref="C3:C4"/>
    <mergeCell ref="D3:D4"/>
    <mergeCell ref="E3:H3"/>
    <mergeCell ref="I3:J3"/>
    <mergeCell ref="K3:K4"/>
    <mergeCell ref="B6:K6"/>
    <mergeCell ref="F88:F89"/>
    <mergeCell ref="F90:F91"/>
    <mergeCell ref="K75:K76"/>
    <mergeCell ref="D88:D89"/>
    <mergeCell ref="H127:H131"/>
    <mergeCell ref="E88:E89"/>
    <mergeCell ref="H88:H89"/>
    <mergeCell ref="D90:D91"/>
    <mergeCell ref="E90:E91"/>
    <mergeCell ref="H90:H91"/>
    <mergeCell ref="K171:K173"/>
    <mergeCell ref="E63:E65"/>
    <mergeCell ref="C63:C65"/>
    <mergeCell ref="F63:F65"/>
    <mergeCell ref="G63:G65"/>
    <mergeCell ref="J63:J65"/>
    <mergeCell ref="B132:K132"/>
    <mergeCell ref="G88:G89"/>
    <mergeCell ref="G90:G91"/>
    <mergeCell ref="J90:J91"/>
    <mergeCell ref="J88:J89"/>
    <mergeCell ref="D96:D97"/>
    <mergeCell ref="K109:K111"/>
    <mergeCell ref="H110:H111"/>
    <mergeCell ref="H120:H124"/>
    <mergeCell ref="B99:K99"/>
  </mergeCell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3"/>
  <sheetViews>
    <sheetView tabSelected="1" view="pageBreakPreview" topLeftCell="A2" zoomScale="60" zoomScaleNormal="80" workbookViewId="0">
      <selection activeCell="I7" sqref="I7"/>
    </sheetView>
  </sheetViews>
  <sheetFormatPr defaultRowHeight="15" x14ac:dyDescent="0.25"/>
  <cols>
    <col min="1" max="1" width="3.85546875" bestFit="1" customWidth="1"/>
    <col min="2" max="2" width="19.5703125" customWidth="1"/>
    <col min="3" max="3" width="11" bestFit="1" customWidth="1"/>
    <col min="4" max="4" width="11.28515625" hidden="1" customWidth="1"/>
    <col min="5" max="5" width="13" hidden="1" customWidth="1"/>
    <col min="6" max="6" width="13.7109375" hidden="1" customWidth="1"/>
    <col min="7" max="7" width="13.5703125" bestFit="1" customWidth="1"/>
    <col min="8" max="8" width="16" bestFit="1" customWidth="1"/>
    <col min="9" max="9" width="23.42578125" bestFit="1" customWidth="1"/>
    <col min="10" max="10" width="41.140625" customWidth="1"/>
    <col min="11" max="11" width="0" hidden="1" customWidth="1"/>
    <col min="12" max="12" width="17.28515625" bestFit="1" customWidth="1"/>
  </cols>
  <sheetData>
    <row r="2" spans="1:11" ht="15.75" x14ac:dyDescent="0.25">
      <c r="A2" s="570" t="s">
        <v>1</v>
      </c>
      <c r="B2" s="569" t="s">
        <v>245</v>
      </c>
      <c r="C2" s="569" t="s">
        <v>246</v>
      </c>
      <c r="D2" s="571" t="s">
        <v>247</v>
      </c>
      <c r="E2" s="572"/>
      <c r="F2" s="234"/>
      <c r="G2" s="573" t="s">
        <v>248</v>
      </c>
      <c r="H2" s="575" t="s">
        <v>249</v>
      </c>
      <c r="I2" s="567" t="s">
        <v>250</v>
      </c>
      <c r="J2" s="569" t="s">
        <v>6</v>
      </c>
      <c r="K2" s="235"/>
    </row>
    <row r="3" spans="1:11" ht="47.25" x14ac:dyDescent="0.25">
      <c r="A3" s="570"/>
      <c r="B3" s="569"/>
      <c r="C3" s="569"/>
      <c r="D3" s="236" t="s">
        <v>251</v>
      </c>
      <c r="E3" s="236" t="s">
        <v>252</v>
      </c>
      <c r="F3" s="491" t="s">
        <v>253</v>
      </c>
      <c r="G3" s="574"/>
      <c r="H3" s="576"/>
      <c r="I3" s="568"/>
      <c r="J3" s="569"/>
      <c r="K3" s="235"/>
    </row>
    <row r="4" spans="1:11" ht="15.75" x14ac:dyDescent="0.25">
      <c r="A4" s="237">
        <v>1</v>
      </c>
      <c r="B4" s="238">
        <v>2</v>
      </c>
      <c r="C4" s="238">
        <v>3</v>
      </c>
      <c r="D4" s="238">
        <v>4</v>
      </c>
      <c r="E4" s="238">
        <v>5</v>
      </c>
      <c r="F4" s="239">
        <v>6</v>
      </c>
      <c r="G4" s="238">
        <v>6</v>
      </c>
      <c r="H4" s="240"/>
      <c r="I4" s="241"/>
      <c r="J4" s="242">
        <v>11</v>
      </c>
      <c r="K4" s="235"/>
    </row>
    <row r="5" spans="1:11" ht="31.5" x14ac:dyDescent="0.25">
      <c r="A5" s="492" t="s">
        <v>11</v>
      </c>
      <c r="B5" s="244" t="s">
        <v>12</v>
      </c>
      <c r="C5" s="491"/>
      <c r="D5" s="245"/>
      <c r="E5" s="246"/>
      <c r="F5" s="246"/>
      <c r="G5" s="247"/>
      <c r="H5" s="248"/>
      <c r="I5" s="248"/>
      <c r="J5" s="249"/>
      <c r="K5" s="235">
        <v>109.02366863905327</v>
      </c>
    </row>
    <row r="6" spans="1:11" ht="47.25" x14ac:dyDescent="0.25">
      <c r="A6" s="249">
        <v>1</v>
      </c>
      <c r="B6" s="244" t="s">
        <v>254</v>
      </c>
      <c r="C6" s="249"/>
      <c r="D6" s="245"/>
      <c r="E6" s="246"/>
      <c r="F6" s="246"/>
      <c r="G6" s="247"/>
      <c r="H6" s="248"/>
      <c r="I6" s="248"/>
      <c r="J6" s="249"/>
      <c r="K6" s="250"/>
    </row>
    <row r="7" spans="1:11" ht="15.75" x14ac:dyDescent="0.25">
      <c r="A7" s="251" t="s">
        <v>255</v>
      </c>
      <c r="B7" s="252" t="s">
        <v>14</v>
      </c>
      <c r="C7" s="249" t="s">
        <v>15</v>
      </c>
      <c r="D7" s="253">
        <v>9000</v>
      </c>
      <c r="E7" s="254">
        <v>9000</v>
      </c>
      <c r="F7" s="254">
        <f>F8+F9+F10</f>
        <v>3844.49</v>
      </c>
      <c r="G7" s="255"/>
      <c r="H7" s="255"/>
      <c r="I7" s="256">
        <f>I8+I9+I10</f>
        <v>4031.2457950231142</v>
      </c>
      <c r="J7" s="249"/>
      <c r="K7" s="250"/>
    </row>
    <row r="8" spans="1:11" ht="31.5" x14ac:dyDescent="0.25">
      <c r="A8" s="249" t="s">
        <v>13</v>
      </c>
      <c r="B8" s="252" t="s">
        <v>256</v>
      </c>
      <c r="C8" s="257" t="s">
        <v>257</v>
      </c>
      <c r="D8" s="258">
        <v>2200</v>
      </c>
      <c r="E8" s="258">
        <v>2200</v>
      </c>
      <c r="F8" s="258">
        <v>868</v>
      </c>
      <c r="G8" s="259"/>
      <c r="H8" s="259"/>
      <c r="I8" s="260">
        <f>I11/1000000000</f>
        <v>693.90301159454282</v>
      </c>
      <c r="J8" s="249"/>
      <c r="K8" s="250"/>
    </row>
    <row r="9" spans="1:11" ht="31.5" x14ac:dyDescent="0.25">
      <c r="A9" s="249" t="s">
        <v>13</v>
      </c>
      <c r="B9" s="252" t="s">
        <v>258</v>
      </c>
      <c r="C9" s="257" t="s">
        <v>257</v>
      </c>
      <c r="D9" s="258">
        <v>6500</v>
      </c>
      <c r="E9" s="258">
        <v>6500</v>
      </c>
      <c r="F9" s="258">
        <v>2854</v>
      </c>
      <c r="G9" s="259"/>
      <c r="H9" s="259"/>
      <c r="I9" s="260">
        <f>I24/1000000000</f>
        <v>3075.5640193285712</v>
      </c>
      <c r="J9" s="261"/>
      <c r="K9" s="250"/>
    </row>
    <row r="10" spans="1:11" ht="31.5" x14ac:dyDescent="0.25">
      <c r="A10" s="249" t="s">
        <v>13</v>
      </c>
      <c r="B10" s="252" t="s">
        <v>299</v>
      </c>
      <c r="C10" s="257" t="s">
        <v>257</v>
      </c>
      <c r="D10" s="258">
        <v>300</v>
      </c>
      <c r="E10" s="258">
        <v>300</v>
      </c>
      <c r="F10" s="258">
        <v>122.49</v>
      </c>
      <c r="G10" s="259"/>
      <c r="H10" s="259"/>
      <c r="I10" s="260">
        <f>(I33+I41)/1000000000</f>
        <v>261.77876409999999</v>
      </c>
      <c r="J10" s="262"/>
      <c r="K10" s="250" t="s">
        <v>259</v>
      </c>
    </row>
    <row r="11" spans="1:11" ht="31.5" x14ac:dyDescent="0.25">
      <c r="A11" s="263" t="s">
        <v>55</v>
      </c>
      <c r="B11" s="244" t="s">
        <v>56</v>
      </c>
      <c r="C11" s="263"/>
      <c r="D11" s="254">
        <v>116972.95454545454</v>
      </c>
      <c r="E11" s="254">
        <v>122857.4</v>
      </c>
      <c r="F11" s="254"/>
      <c r="G11" s="254"/>
      <c r="H11" s="264"/>
      <c r="I11" s="255">
        <f>SUM(I12:I23)</f>
        <v>693903011594.54285</v>
      </c>
      <c r="J11" s="261"/>
      <c r="K11" s="265"/>
    </row>
    <row r="12" spans="1:11" ht="31.5" x14ac:dyDescent="0.25">
      <c r="A12" s="266" t="s">
        <v>13</v>
      </c>
      <c r="B12" s="267" t="s">
        <v>260</v>
      </c>
      <c r="C12" s="266" t="s">
        <v>58</v>
      </c>
      <c r="D12" s="258">
        <v>1000</v>
      </c>
      <c r="E12" s="258">
        <v>1300</v>
      </c>
      <c r="F12" s="258">
        <v>242</v>
      </c>
      <c r="G12" s="268">
        <f>Sheet1!E39</f>
        <v>957.71</v>
      </c>
      <c r="H12" s="269">
        <v>12000000</v>
      </c>
      <c r="I12" s="259">
        <f t="shared" ref="I12:I18" si="0">G12*H12</f>
        <v>11492520000</v>
      </c>
      <c r="J12" s="249" t="s">
        <v>261</v>
      </c>
      <c r="K12" s="250"/>
    </row>
    <row r="13" spans="1:11" ht="15.75" x14ac:dyDescent="0.25">
      <c r="A13" s="266" t="s">
        <v>13</v>
      </c>
      <c r="B13" s="267" t="s">
        <v>262</v>
      </c>
      <c r="C13" s="249" t="s">
        <v>58</v>
      </c>
      <c r="D13" s="258">
        <v>227.5</v>
      </c>
      <c r="E13" s="258">
        <v>230</v>
      </c>
      <c r="F13" s="258"/>
      <c r="G13" s="268">
        <f>Sheet1!E40</f>
        <v>92.12</v>
      </c>
      <c r="H13" s="269">
        <v>100000000</v>
      </c>
      <c r="I13" s="259">
        <f t="shared" si="0"/>
        <v>9212000000</v>
      </c>
      <c r="J13" s="249" t="s">
        <v>261</v>
      </c>
      <c r="K13" s="250"/>
    </row>
    <row r="14" spans="1:11" ht="31.5" x14ac:dyDescent="0.25">
      <c r="A14" s="266" t="s">
        <v>13</v>
      </c>
      <c r="B14" s="267" t="s">
        <v>263</v>
      </c>
      <c r="C14" s="266" t="s">
        <v>39</v>
      </c>
      <c r="D14" s="270">
        <v>79545.454545454544</v>
      </c>
      <c r="E14" s="270">
        <v>81200</v>
      </c>
      <c r="F14" s="270">
        <v>33453.993999999999</v>
      </c>
      <c r="G14" s="268">
        <f>Sheet1!E41</f>
        <v>19524.587249159998</v>
      </c>
      <c r="H14" s="271">
        <v>15000000</v>
      </c>
      <c r="I14" s="248">
        <f t="shared" si="0"/>
        <v>292868808737.39996</v>
      </c>
      <c r="J14" s="272" t="s">
        <v>264</v>
      </c>
      <c r="K14" s="250" t="e">
        <v>#REF!</v>
      </c>
    </row>
    <row r="15" spans="1:11" ht="15.75" x14ac:dyDescent="0.25">
      <c r="A15" s="266" t="s">
        <v>13</v>
      </c>
      <c r="B15" s="267" t="s">
        <v>48</v>
      </c>
      <c r="C15" s="266" t="s">
        <v>39</v>
      </c>
      <c r="D15" s="258">
        <v>34200</v>
      </c>
      <c r="E15" s="258">
        <v>34200</v>
      </c>
      <c r="F15" s="258"/>
      <c r="G15" s="268">
        <f>Sheet1!E42</f>
        <v>21050</v>
      </c>
      <c r="H15" s="269">
        <v>2900000</v>
      </c>
      <c r="I15" s="248">
        <f t="shared" si="0"/>
        <v>61045000000</v>
      </c>
      <c r="J15" s="249" t="s">
        <v>261</v>
      </c>
      <c r="K15" s="250"/>
    </row>
    <row r="16" spans="1:11" ht="15.75" x14ac:dyDescent="0.25">
      <c r="A16" s="273" t="s">
        <v>13</v>
      </c>
      <c r="B16" s="267" t="s">
        <v>265</v>
      </c>
      <c r="C16" s="273" t="s">
        <v>39</v>
      </c>
      <c r="D16" s="258">
        <v>2000</v>
      </c>
      <c r="E16" s="258">
        <v>5927.4</v>
      </c>
      <c r="F16" s="258">
        <v>362.4</v>
      </c>
      <c r="G16" s="268">
        <f>Sheet1!E43</f>
        <v>1113</v>
      </c>
      <c r="H16" s="269">
        <v>1300000</v>
      </c>
      <c r="I16" s="259">
        <f t="shared" si="0"/>
        <v>1446900000</v>
      </c>
      <c r="J16" s="249" t="s">
        <v>261</v>
      </c>
      <c r="K16" s="250"/>
    </row>
    <row r="17" spans="1:11" ht="15.75" x14ac:dyDescent="0.25">
      <c r="A17" s="273" t="s">
        <v>13</v>
      </c>
      <c r="B17" s="267" t="s">
        <v>266</v>
      </c>
      <c r="C17" s="273"/>
      <c r="D17" s="258"/>
      <c r="E17" s="258"/>
      <c r="F17" s="258"/>
      <c r="G17" s="268">
        <f>Sheet1!E44</f>
        <v>5910.8260000000009</v>
      </c>
      <c r="H17" s="269">
        <v>40000000</v>
      </c>
      <c r="I17" s="259">
        <f t="shared" si="0"/>
        <v>236433040000.00003</v>
      </c>
      <c r="J17" s="249" t="s">
        <v>261</v>
      </c>
      <c r="K17" s="250"/>
    </row>
    <row r="18" spans="1:11" ht="15.75" x14ac:dyDescent="0.25">
      <c r="A18" s="273" t="s">
        <v>13</v>
      </c>
      <c r="B18" s="306" t="s">
        <v>63</v>
      </c>
      <c r="C18" s="273"/>
      <c r="D18" s="258"/>
      <c r="E18" s="258"/>
      <c r="F18" s="258"/>
      <c r="G18" s="268">
        <f>Sheet1!E45</f>
        <v>37.5</v>
      </c>
      <c r="H18" s="269">
        <v>60000000</v>
      </c>
      <c r="I18" s="259">
        <f t="shared" si="0"/>
        <v>2250000000</v>
      </c>
      <c r="J18" s="249" t="s">
        <v>261</v>
      </c>
      <c r="K18" s="250"/>
    </row>
    <row r="19" spans="1:11" ht="31.5" x14ac:dyDescent="0.25">
      <c r="A19" s="266" t="s">
        <v>55</v>
      </c>
      <c r="B19" s="274" t="s">
        <v>82</v>
      </c>
      <c r="C19" s="266"/>
      <c r="D19" s="245"/>
      <c r="E19" s="246"/>
      <c r="F19" s="246"/>
      <c r="G19" s="246"/>
      <c r="H19" s="271"/>
      <c r="I19" s="248"/>
      <c r="J19" s="272"/>
      <c r="K19" s="250"/>
    </row>
    <row r="20" spans="1:11" ht="15.75" x14ac:dyDescent="0.25">
      <c r="A20" s="266" t="s">
        <v>13</v>
      </c>
      <c r="B20" s="267" t="s">
        <v>267</v>
      </c>
      <c r="C20" s="266" t="s">
        <v>58</v>
      </c>
      <c r="D20" s="258">
        <v>4191.3500000000004</v>
      </c>
      <c r="E20" s="258">
        <v>4300</v>
      </c>
      <c r="F20" s="258">
        <v>2979.7999999999997</v>
      </c>
      <c r="G20" s="275">
        <f>Sheet1!E56</f>
        <v>405</v>
      </c>
      <c r="H20" s="269">
        <v>100000000</v>
      </c>
      <c r="I20" s="259">
        <f>G20*H20</f>
        <v>40500000000</v>
      </c>
      <c r="J20" s="249" t="s">
        <v>261</v>
      </c>
      <c r="K20" s="250"/>
    </row>
    <row r="21" spans="1:11" ht="15.75" x14ac:dyDescent="0.25">
      <c r="A21" s="276" t="s">
        <v>91</v>
      </c>
      <c r="B21" s="277" t="s">
        <v>92</v>
      </c>
      <c r="C21" s="278"/>
      <c r="D21" s="245"/>
      <c r="E21" s="246"/>
      <c r="F21" s="246"/>
      <c r="G21" s="246"/>
      <c r="H21" s="271"/>
      <c r="I21" s="248"/>
      <c r="J21" s="272"/>
      <c r="K21" s="250"/>
    </row>
    <row r="22" spans="1:11" ht="15.75" x14ac:dyDescent="0.25">
      <c r="A22" s="276" t="s">
        <v>13</v>
      </c>
      <c r="B22" s="279" t="s">
        <v>268</v>
      </c>
      <c r="C22" s="280" t="s">
        <v>58</v>
      </c>
      <c r="D22" s="258">
        <v>375</v>
      </c>
      <c r="E22" s="258">
        <v>375</v>
      </c>
      <c r="F22" s="270">
        <v>45</v>
      </c>
      <c r="G22" s="270">
        <f>Sheet1!E67</f>
        <v>99.497142857142862</v>
      </c>
      <c r="H22" s="269">
        <v>90000000</v>
      </c>
      <c r="I22" s="259">
        <f>G22*H22</f>
        <v>8954742857.1428585</v>
      </c>
      <c r="J22" s="249" t="s">
        <v>261</v>
      </c>
      <c r="K22" s="250"/>
    </row>
    <row r="23" spans="1:11" ht="15.75" x14ac:dyDescent="0.25">
      <c r="A23" s="276" t="s">
        <v>13</v>
      </c>
      <c r="B23" s="279" t="s">
        <v>98</v>
      </c>
      <c r="C23" s="280" t="s">
        <v>58</v>
      </c>
      <c r="D23" s="258">
        <v>75</v>
      </c>
      <c r="E23" s="258">
        <v>75</v>
      </c>
      <c r="F23" s="258">
        <v>219.1</v>
      </c>
      <c r="G23" s="258">
        <f>Sheet1!E68</f>
        <v>330</v>
      </c>
      <c r="H23" s="269">
        <v>90000000</v>
      </c>
      <c r="I23" s="259">
        <f>G23*H23</f>
        <v>29700000000</v>
      </c>
      <c r="J23" s="249" t="s">
        <v>261</v>
      </c>
      <c r="K23" s="250"/>
    </row>
    <row r="24" spans="1:11" ht="15.75" x14ac:dyDescent="0.25">
      <c r="A24" s="263">
        <v>6</v>
      </c>
      <c r="B24" s="244" t="s">
        <v>99</v>
      </c>
      <c r="C24" s="263"/>
      <c r="D24" s="236"/>
      <c r="E24" s="281"/>
      <c r="F24" s="281"/>
      <c r="G24" s="281"/>
      <c r="H24" s="282"/>
      <c r="I24" s="490">
        <f>SUM(I25:I32)</f>
        <v>3075564019328.5713</v>
      </c>
      <c r="J24" s="284"/>
      <c r="K24" s="265"/>
    </row>
    <row r="25" spans="1:11" ht="63" x14ac:dyDescent="0.25">
      <c r="A25" s="276" t="s">
        <v>13</v>
      </c>
      <c r="B25" s="285" t="s">
        <v>100</v>
      </c>
      <c r="C25" s="266" t="s">
        <v>101</v>
      </c>
      <c r="D25" s="270">
        <v>66.150000000000006</v>
      </c>
      <c r="E25" s="270">
        <v>66.150000000000006</v>
      </c>
      <c r="F25" s="270">
        <v>32</v>
      </c>
      <c r="G25" s="228">
        <f>Sheet1!E70</f>
        <v>1</v>
      </c>
      <c r="H25" s="271">
        <v>250000000</v>
      </c>
      <c r="I25" s="248">
        <f t="shared" ref="I25:I31" si="1">G25*H25</f>
        <v>250000000</v>
      </c>
      <c r="J25" s="286" t="s">
        <v>269</v>
      </c>
      <c r="K25" s="250"/>
    </row>
    <row r="26" spans="1:11" ht="31.5" x14ac:dyDescent="0.25">
      <c r="A26" s="276" t="s">
        <v>13</v>
      </c>
      <c r="B26" s="252" t="s">
        <v>102</v>
      </c>
      <c r="C26" s="266" t="s">
        <v>103</v>
      </c>
      <c r="D26" s="270">
        <v>6.6150000000000002</v>
      </c>
      <c r="E26" s="270">
        <v>6.62</v>
      </c>
      <c r="F26" s="270">
        <v>3.3</v>
      </c>
      <c r="G26" s="228">
        <f>Sheet1!E71</f>
        <v>9.9499999999999993</v>
      </c>
      <c r="H26" s="271">
        <v>100000000</v>
      </c>
      <c r="I26" s="248">
        <f t="shared" si="1"/>
        <v>994999999.99999988</v>
      </c>
      <c r="J26" s="286" t="s">
        <v>270</v>
      </c>
      <c r="K26" s="250"/>
    </row>
    <row r="27" spans="1:11" ht="31.5" x14ac:dyDescent="0.25">
      <c r="A27" s="276" t="s">
        <v>13</v>
      </c>
      <c r="B27" s="252" t="s">
        <v>104</v>
      </c>
      <c r="C27" s="266" t="s">
        <v>58</v>
      </c>
      <c r="D27" s="270">
        <v>945</v>
      </c>
      <c r="E27" s="270">
        <v>945</v>
      </c>
      <c r="F27" s="270">
        <v>239</v>
      </c>
      <c r="G27" s="287">
        <f>Sheet1!E72</f>
        <v>458.95499999999993</v>
      </c>
      <c r="H27" s="271">
        <v>2000000</v>
      </c>
      <c r="I27" s="248">
        <f t="shared" si="1"/>
        <v>917909999.99999988</v>
      </c>
      <c r="J27" s="286" t="s">
        <v>271</v>
      </c>
      <c r="K27" s="250"/>
    </row>
    <row r="28" spans="1:11" ht="94.5" x14ac:dyDescent="0.25">
      <c r="A28" s="276" t="s">
        <v>13</v>
      </c>
      <c r="B28" s="252" t="s">
        <v>272</v>
      </c>
      <c r="C28" s="266" t="s">
        <v>58</v>
      </c>
      <c r="D28" s="270">
        <v>24000</v>
      </c>
      <c r="E28" s="270">
        <v>20000</v>
      </c>
      <c r="F28" s="270">
        <v>4700</v>
      </c>
      <c r="G28" s="287">
        <f>Sheet1!E73</f>
        <v>12028.571428571429</v>
      </c>
      <c r="H28" s="271">
        <v>8000000</v>
      </c>
      <c r="I28" s="248">
        <f t="shared" si="1"/>
        <v>96228571428.571442</v>
      </c>
      <c r="J28" s="286" t="s">
        <v>296</v>
      </c>
      <c r="K28" s="250"/>
    </row>
    <row r="29" spans="1:11" ht="31.5" x14ac:dyDescent="0.25">
      <c r="A29" s="276" t="s">
        <v>13</v>
      </c>
      <c r="B29" s="252" t="s">
        <v>106</v>
      </c>
      <c r="C29" s="266" t="s">
        <v>58</v>
      </c>
      <c r="D29" s="270">
        <v>16791.71</v>
      </c>
      <c r="E29" s="270">
        <v>16791.71</v>
      </c>
      <c r="F29" s="270">
        <v>5000</v>
      </c>
      <c r="G29" s="287">
        <f>Sheet1!E74</f>
        <v>13200</v>
      </c>
      <c r="H29" s="271">
        <v>49000000</v>
      </c>
      <c r="I29" s="248">
        <f t="shared" si="1"/>
        <v>646800000000</v>
      </c>
      <c r="J29" s="286" t="s">
        <v>273</v>
      </c>
      <c r="K29" s="250"/>
    </row>
    <row r="30" spans="1:11" ht="126" x14ac:dyDescent="0.25">
      <c r="A30" s="276" t="s">
        <v>13</v>
      </c>
      <c r="B30" s="252" t="s">
        <v>274</v>
      </c>
      <c r="C30" s="266" t="s">
        <v>113</v>
      </c>
      <c r="D30" s="270">
        <v>2158.31</v>
      </c>
      <c r="E30" s="270">
        <v>2158.31</v>
      </c>
      <c r="F30" s="270">
        <v>890</v>
      </c>
      <c r="G30" s="287">
        <f>Sheet1!E77</f>
        <v>1830</v>
      </c>
      <c r="H30" s="271">
        <v>1221000000</v>
      </c>
      <c r="I30" s="248">
        <f t="shared" si="1"/>
        <v>2234430000000</v>
      </c>
      <c r="J30" s="286" t="s">
        <v>275</v>
      </c>
      <c r="K30" s="250"/>
    </row>
    <row r="31" spans="1:11" ht="110.25" x14ac:dyDescent="0.25">
      <c r="A31" s="276" t="s">
        <v>13</v>
      </c>
      <c r="B31" s="252" t="s">
        <v>114</v>
      </c>
      <c r="C31" s="266" t="s">
        <v>113</v>
      </c>
      <c r="D31" s="270">
        <v>51.61</v>
      </c>
      <c r="E31" s="270">
        <v>51.61</v>
      </c>
      <c r="F31" s="270">
        <v>25.786000000000001</v>
      </c>
      <c r="G31" s="288">
        <f>Sheet1!E78</f>
        <v>73.61</v>
      </c>
      <c r="H31" s="271">
        <v>1303390000</v>
      </c>
      <c r="I31" s="248">
        <f t="shared" si="1"/>
        <v>95942537900</v>
      </c>
      <c r="J31" s="286" t="s">
        <v>276</v>
      </c>
      <c r="K31" s="250"/>
    </row>
    <row r="32" spans="1:11" ht="47.25" x14ac:dyDescent="0.25">
      <c r="A32" s="276" t="s">
        <v>13</v>
      </c>
      <c r="B32" s="252" t="s">
        <v>277</v>
      </c>
      <c r="C32" s="266"/>
      <c r="D32" s="270"/>
      <c r="E32" s="270"/>
      <c r="F32" s="270"/>
      <c r="G32" s="287"/>
      <c r="H32" s="271"/>
      <c r="I32" s="248"/>
      <c r="J32" s="249"/>
      <c r="K32" s="250"/>
    </row>
    <row r="33" spans="1:12" ht="47.25" x14ac:dyDescent="0.25">
      <c r="A33" s="263">
        <v>7</v>
      </c>
      <c r="B33" s="289" t="s">
        <v>115</v>
      </c>
      <c r="C33" s="263" t="s">
        <v>297</v>
      </c>
      <c r="D33" s="253">
        <v>300</v>
      </c>
      <c r="E33" s="253">
        <v>300</v>
      </c>
      <c r="F33" s="253">
        <v>110</v>
      </c>
      <c r="G33" s="290"/>
      <c r="H33" s="282"/>
      <c r="I33" s="283">
        <f>SUM(I34:I37)+I40</f>
        <v>244778764100</v>
      </c>
      <c r="J33" s="491"/>
      <c r="K33" s="265"/>
    </row>
    <row r="34" spans="1:12" ht="141.75" x14ac:dyDescent="0.25">
      <c r="A34" s="291" t="s">
        <v>13</v>
      </c>
      <c r="B34" s="292" t="s">
        <v>278</v>
      </c>
      <c r="C34" s="293"/>
      <c r="D34" s="294"/>
      <c r="E34" s="294"/>
      <c r="F34" s="294"/>
      <c r="G34" s="295"/>
      <c r="H34" s="296"/>
      <c r="I34" s="376">
        <f>27600000000</f>
        <v>27600000000</v>
      </c>
      <c r="J34" s="297" t="s">
        <v>279</v>
      </c>
      <c r="K34" s="298"/>
    </row>
    <row r="35" spans="1:12" ht="47.25" x14ac:dyDescent="0.25">
      <c r="A35" s="291" t="s">
        <v>13</v>
      </c>
      <c r="B35" s="292" t="s">
        <v>280</v>
      </c>
      <c r="C35" s="293" t="s">
        <v>133</v>
      </c>
      <c r="D35" s="294"/>
      <c r="E35" s="294"/>
      <c r="F35" s="294"/>
      <c r="G35" s="295">
        <v>12</v>
      </c>
      <c r="H35" s="296">
        <f>3000000000</f>
        <v>3000000000</v>
      </c>
      <c r="I35" s="295">
        <f>G35*H35</f>
        <v>36000000000</v>
      </c>
      <c r="J35" s="297" t="s">
        <v>281</v>
      </c>
      <c r="K35" s="298"/>
    </row>
    <row r="36" spans="1:12" ht="63" x14ac:dyDescent="0.25">
      <c r="A36" s="291" t="s">
        <v>13</v>
      </c>
      <c r="B36" s="292" t="s">
        <v>282</v>
      </c>
      <c r="C36" s="293" t="s">
        <v>283</v>
      </c>
      <c r="D36" s="294"/>
      <c r="E36" s="294"/>
      <c r="F36" s="294"/>
      <c r="G36" s="295">
        <f>300000*12</f>
        <v>3600000</v>
      </c>
      <c r="H36" s="296">
        <v>20000</v>
      </c>
      <c r="I36" s="374">
        <f>H36*G36</f>
        <v>72000000000</v>
      </c>
      <c r="J36" s="297" t="s">
        <v>284</v>
      </c>
      <c r="K36" s="298"/>
    </row>
    <row r="37" spans="1:12" ht="47.25" x14ac:dyDescent="0.25">
      <c r="A37" s="291" t="s">
        <v>13</v>
      </c>
      <c r="B37" s="292" t="s">
        <v>285</v>
      </c>
      <c r="C37" s="293"/>
      <c r="D37" s="294"/>
      <c r="E37" s="294"/>
      <c r="F37" s="294"/>
      <c r="G37" s="295"/>
      <c r="H37" s="296"/>
      <c r="I37" s="299">
        <f>I38+I39</f>
        <v>105678764100</v>
      </c>
      <c r="J37" s="297" t="s">
        <v>320</v>
      </c>
      <c r="K37" s="298"/>
    </row>
    <row r="38" spans="1:12" ht="94.5" x14ac:dyDescent="0.25">
      <c r="A38" s="291" t="s">
        <v>37</v>
      </c>
      <c r="B38" s="292" t="s">
        <v>287</v>
      </c>
      <c r="C38" s="293" t="s">
        <v>288</v>
      </c>
      <c r="D38" s="294"/>
      <c r="E38" s="294"/>
      <c r="F38" s="294"/>
      <c r="G38" s="295">
        <f>315*16172</f>
        <v>5094180</v>
      </c>
      <c r="H38" s="296">
        <v>15300</v>
      </c>
      <c r="I38" s="299">
        <f>H38*G38</f>
        <v>77940954000</v>
      </c>
      <c r="J38" s="297" t="s">
        <v>289</v>
      </c>
      <c r="K38" s="298"/>
      <c r="L38" s="377"/>
    </row>
    <row r="39" spans="1:12" ht="110.25" x14ac:dyDescent="0.25">
      <c r="A39" s="291" t="s">
        <v>37</v>
      </c>
      <c r="B39" s="300" t="s">
        <v>290</v>
      </c>
      <c r="C39" s="293" t="s">
        <v>90</v>
      </c>
      <c r="D39" s="294"/>
      <c r="E39" s="294"/>
      <c r="F39" s="294"/>
      <c r="G39" s="301">
        <f>550*16172</f>
        <v>8894600</v>
      </c>
      <c r="H39" s="295">
        <v>8910</v>
      </c>
      <c r="I39" s="299">
        <f>G39*H39*35%</f>
        <v>27737810100</v>
      </c>
      <c r="J39" s="297" t="s">
        <v>291</v>
      </c>
      <c r="K39" s="298"/>
    </row>
    <row r="40" spans="1:12" ht="75" x14ac:dyDescent="0.25">
      <c r="A40" s="291" t="s">
        <v>13</v>
      </c>
      <c r="B40" s="302" t="s">
        <v>292</v>
      </c>
      <c r="C40" s="293"/>
      <c r="D40" s="294"/>
      <c r="E40" s="294"/>
      <c r="F40" s="294"/>
      <c r="G40" s="301"/>
      <c r="H40" s="295"/>
      <c r="I40" s="299">
        <f>3500000000</f>
        <v>3500000000</v>
      </c>
      <c r="J40" s="297" t="s">
        <v>293</v>
      </c>
      <c r="K40" s="298"/>
    </row>
    <row r="41" spans="1:12" ht="15.75" x14ac:dyDescent="0.25">
      <c r="A41" s="263">
        <v>8</v>
      </c>
      <c r="B41" s="289" t="s">
        <v>116</v>
      </c>
      <c r="C41" s="266"/>
      <c r="D41" s="303"/>
      <c r="E41" s="246"/>
      <c r="F41" s="246"/>
      <c r="G41" s="229"/>
      <c r="H41" s="271"/>
      <c r="I41" s="283">
        <f>I42</f>
        <v>17000000000</v>
      </c>
      <c r="J41" s="249"/>
      <c r="K41" s="250"/>
    </row>
    <row r="42" spans="1:12" ht="47.25" x14ac:dyDescent="0.25">
      <c r="A42" s="293"/>
      <c r="B42" s="292" t="s">
        <v>294</v>
      </c>
      <c r="C42" s="293" t="s">
        <v>295</v>
      </c>
      <c r="D42" s="304"/>
      <c r="E42" s="305"/>
      <c r="F42" s="305"/>
      <c r="G42" s="301">
        <f>Sheet1!E81</f>
        <v>5000</v>
      </c>
      <c r="H42" s="296">
        <v>3400000</v>
      </c>
      <c r="I42" s="299">
        <f>G42*H42</f>
        <v>17000000000</v>
      </c>
      <c r="J42" s="297" t="s">
        <v>298</v>
      </c>
      <c r="K42" s="298"/>
    </row>
    <row r="43" spans="1:12" x14ac:dyDescent="0.25">
      <c r="I43" s="375"/>
    </row>
  </sheetData>
  <mergeCells count="8">
    <mergeCell ref="I2:I3"/>
    <mergeCell ref="J2:J3"/>
    <mergeCell ref="A2:A3"/>
    <mergeCell ref="B2:B3"/>
    <mergeCell ref="C2:C3"/>
    <mergeCell ref="D2:E2"/>
    <mergeCell ref="G2:G3"/>
    <mergeCell ref="H2:H3"/>
  </mergeCell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3"/>
  <sheetViews>
    <sheetView topLeftCell="A10" zoomScale="80" zoomScaleNormal="80" workbookViewId="0">
      <selection activeCell="G23" sqref="G23"/>
    </sheetView>
  </sheetViews>
  <sheetFormatPr defaultRowHeight="15" x14ac:dyDescent="0.25"/>
  <cols>
    <col min="1" max="1" width="3.85546875" bestFit="1" customWidth="1"/>
    <col min="2" max="2" width="19.5703125" customWidth="1"/>
    <col min="3" max="3" width="11" bestFit="1" customWidth="1"/>
    <col min="4" max="4" width="11.28515625" hidden="1" customWidth="1"/>
    <col min="5" max="5" width="13" hidden="1" customWidth="1"/>
    <col min="6" max="6" width="13.7109375" hidden="1" customWidth="1"/>
    <col min="7" max="7" width="13.5703125" bestFit="1" customWidth="1"/>
    <col min="8" max="8" width="16" bestFit="1" customWidth="1"/>
    <col min="9" max="9" width="23.42578125" bestFit="1" customWidth="1"/>
    <col min="10" max="10" width="41.140625" customWidth="1"/>
    <col min="11" max="11" width="0" hidden="1" customWidth="1"/>
    <col min="12" max="12" width="17.28515625" bestFit="1" customWidth="1"/>
  </cols>
  <sheetData>
    <row r="2" spans="1:11" ht="15.75" x14ac:dyDescent="0.25">
      <c r="A2" s="570" t="s">
        <v>1</v>
      </c>
      <c r="B2" s="569" t="s">
        <v>245</v>
      </c>
      <c r="C2" s="569" t="s">
        <v>246</v>
      </c>
      <c r="D2" s="571" t="s">
        <v>247</v>
      </c>
      <c r="E2" s="572"/>
      <c r="F2" s="234"/>
      <c r="G2" s="573" t="s">
        <v>248</v>
      </c>
      <c r="H2" s="575" t="s">
        <v>249</v>
      </c>
      <c r="I2" s="567" t="s">
        <v>250</v>
      </c>
      <c r="J2" s="569" t="s">
        <v>6</v>
      </c>
      <c r="K2" s="235"/>
    </row>
    <row r="3" spans="1:11" ht="47.25" x14ac:dyDescent="0.25">
      <c r="A3" s="570"/>
      <c r="B3" s="569"/>
      <c r="C3" s="569"/>
      <c r="D3" s="236" t="s">
        <v>251</v>
      </c>
      <c r="E3" s="236" t="s">
        <v>252</v>
      </c>
      <c r="F3" s="227" t="s">
        <v>253</v>
      </c>
      <c r="G3" s="574"/>
      <c r="H3" s="576"/>
      <c r="I3" s="568"/>
      <c r="J3" s="569"/>
      <c r="K3" s="235"/>
    </row>
    <row r="4" spans="1:11" ht="15.75" x14ac:dyDescent="0.25">
      <c r="A4" s="237">
        <v>1</v>
      </c>
      <c r="B4" s="238">
        <v>2</v>
      </c>
      <c r="C4" s="238">
        <v>3</v>
      </c>
      <c r="D4" s="238">
        <v>4</v>
      </c>
      <c r="E4" s="238">
        <v>5</v>
      </c>
      <c r="F4" s="239">
        <v>6</v>
      </c>
      <c r="G4" s="238">
        <v>6</v>
      </c>
      <c r="H4" s="240"/>
      <c r="I4" s="241"/>
      <c r="J4" s="242">
        <v>11</v>
      </c>
      <c r="K4" s="235"/>
    </row>
    <row r="5" spans="1:11" ht="31.5" x14ac:dyDescent="0.25">
      <c r="A5" s="243" t="s">
        <v>11</v>
      </c>
      <c r="B5" s="244" t="s">
        <v>12</v>
      </c>
      <c r="C5" s="227"/>
      <c r="D5" s="245"/>
      <c r="E5" s="246"/>
      <c r="F5" s="246"/>
      <c r="G5" s="247"/>
      <c r="H5" s="248"/>
      <c r="I5" s="248"/>
      <c r="J5" s="249"/>
      <c r="K5" s="235">
        <v>109.02366863905327</v>
      </c>
    </row>
    <row r="6" spans="1:11" ht="47.25" x14ac:dyDescent="0.25">
      <c r="A6" s="249">
        <v>1</v>
      </c>
      <c r="B6" s="244" t="s">
        <v>254</v>
      </c>
      <c r="C6" s="249"/>
      <c r="D6" s="245"/>
      <c r="E6" s="246"/>
      <c r="F6" s="246"/>
      <c r="G6" s="247"/>
      <c r="H6" s="248"/>
      <c r="I6" s="248"/>
      <c r="J6" s="249"/>
      <c r="K6" s="250"/>
    </row>
    <row r="7" spans="1:11" ht="15.75" x14ac:dyDescent="0.25">
      <c r="A7" s="251" t="s">
        <v>255</v>
      </c>
      <c r="B7" s="252" t="s">
        <v>14</v>
      </c>
      <c r="C7" s="249" t="s">
        <v>15</v>
      </c>
      <c r="D7" s="253">
        <v>9000</v>
      </c>
      <c r="E7" s="254">
        <v>9000</v>
      </c>
      <c r="F7" s="254">
        <f>F8+F9+F10</f>
        <v>3844.49</v>
      </c>
      <c r="G7" s="255"/>
      <c r="H7" s="255"/>
      <c r="I7" s="256">
        <f>I8+I9+I10</f>
        <v>1802.3690133272071</v>
      </c>
      <c r="J7" s="249"/>
      <c r="K7" s="250"/>
    </row>
    <row r="8" spans="1:11" ht="31.5" x14ac:dyDescent="0.25">
      <c r="A8" s="249" t="s">
        <v>13</v>
      </c>
      <c r="B8" s="252" t="s">
        <v>256</v>
      </c>
      <c r="C8" s="257" t="s">
        <v>257</v>
      </c>
      <c r="D8" s="258">
        <v>2200</v>
      </c>
      <c r="E8" s="258">
        <v>2200</v>
      </c>
      <c r="F8" s="258">
        <v>868</v>
      </c>
      <c r="G8" s="259"/>
      <c r="H8" s="259"/>
      <c r="I8" s="260">
        <f>I11/1000000000</f>
        <v>295.02039361292145</v>
      </c>
      <c r="J8" s="249"/>
      <c r="K8" s="250"/>
    </row>
    <row r="9" spans="1:11" ht="31.5" x14ac:dyDescent="0.25">
      <c r="A9" s="249" t="s">
        <v>13</v>
      </c>
      <c r="B9" s="252" t="s">
        <v>258</v>
      </c>
      <c r="C9" s="257" t="s">
        <v>257</v>
      </c>
      <c r="D9" s="258">
        <v>6500</v>
      </c>
      <c r="E9" s="258">
        <v>6500</v>
      </c>
      <c r="F9" s="258">
        <v>2854</v>
      </c>
      <c r="G9" s="259"/>
      <c r="H9" s="259"/>
      <c r="I9" s="260">
        <f>I24/1000000000</f>
        <v>1338.4795096642856</v>
      </c>
      <c r="J9" s="261"/>
      <c r="K9" s="250"/>
    </row>
    <row r="10" spans="1:11" ht="31.5" x14ac:dyDescent="0.25">
      <c r="A10" s="249" t="s">
        <v>13</v>
      </c>
      <c r="B10" s="252" t="s">
        <v>299</v>
      </c>
      <c r="C10" s="257" t="s">
        <v>257</v>
      </c>
      <c r="D10" s="258">
        <v>300</v>
      </c>
      <c r="E10" s="258">
        <v>300</v>
      </c>
      <c r="F10" s="258">
        <v>122.49</v>
      </c>
      <c r="G10" s="259"/>
      <c r="H10" s="259"/>
      <c r="I10" s="260">
        <f>(I33+I41)/1000000000</f>
        <v>168.86911004999999</v>
      </c>
      <c r="J10" s="262"/>
      <c r="K10" s="250" t="s">
        <v>259</v>
      </c>
    </row>
    <row r="11" spans="1:11" ht="31.5" x14ac:dyDescent="0.25">
      <c r="A11" s="263" t="s">
        <v>55</v>
      </c>
      <c r="B11" s="244" t="s">
        <v>56</v>
      </c>
      <c r="C11" s="263"/>
      <c r="D11" s="254">
        <v>116972.95454545454</v>
      </c>
      <c r="E11" s="254">
        <v>122857.4</v>
      </c>
      <c r="F11" s="254"/>
      <c r="G11" s="254"/>
      <c r="H11" s="264"/>
      <c r="I11" s="255">
        <f>SUM(I12:I23)</f>
        <v>295020393612.92145</v>
      </c>
      <c r="J11" s="261"/>
      <c r="K11" s="265"/>
    </row>
    <row r="12" spans="1:11" ht="31.5" x14ac:dyDescent="0.25">
      <c r="A12" s="266" t="s">
        <v>13</v>
      </c>
      <c r="B12" s="267" t="s">
        <v>260</v>
      </c>
      <c r="C12" s="266" t="s">
        <v>58</v>
      </c>
      <c r="D12" s="258">
        <v>1000</v>
      </c>
      <c r="E12" s="258">
        <v>1300</v>
      </c>
      <c r="F12" s="258">
        <v>242</v>
      </c>
      <c r="G12" s="268">
        <f>Sheet1!F39</f>
        <v>747.25</v>
      </c>
      <c r="H12" s="269">
        <v>12000000</v>
      </c>
      <c r="I12" s="259">
        <f t="shared" ref="I12:I18" si="0">G12*H12</f>
        <v>8967000000</v>
      </c>
      <c r="J12" s="249" t="s">
        <v>261</v>
      </c>
      <c r="K12" s="250"/>
    </row>
    <row r="13" spans="1:11" ht="15.75" x14ac:dyDescent="0.25">
      <c r="A13" s="266" t="s">
        <v>13</v>
      </c>
      <c r="B13" s="267" t="s">
        <v>262</v>
      </c>
      <c r="C13" s="249" t="s">
        <v>58</v>
      </c>
      <c r="D13" s="258">
        <v>227.5</v>
      </c>
      <c r="E13" s="258">
        <v>230</v>
      </c>
      <c r="F13" s="258"/>
      <c r="G13" s="268">
        <f>Sheet1!F40</f>
        <v>0</v>
      </c>
      <c r="H13" s="269">
        <v>100000000</v>
      </c>
      <c r="I13" s="259">
        <f t="shared" si="0"/>
        <v>0</v>
      </c>
      <c r="J13" s="249" t="s">
        <v>261</v>
      </c>
      <c r="K13" s="250"/>
    </row>
    <row r="14" spans="1:11" ht="31.5" x14ac:dyDescent="0.25">
      <c r="A14" s="266" t="s">
        <v>13</v>
      </c>
      <c r="B14" s="267" t="s">
        <v>263</v>
      </c>
      <c r="C14" s="266" t="s">
        <v>39</v>
      </c>
      <c r="D14" s="270">
        <v>79545.454545454544</v>
      </c>
      <c r="E14" s="270">
        <v>81200</v>
      </c>
      <c r="F14" s="270">
        <v>33453.993999999999</v>
      </c>
      <c r="G14" s="268">
        <f>Sheet1!F41</f>
        <v>4881.1468122899996</v>
      </c>
      <c r="H14" s="271">
        <v>15000000</v>
      </c>
      <c r="I14" s="248">
        <f t="shared" si="0"/>
        <v>73217202184.349991</v>
      </c>
      <c r="J14" s="272" t="s">
        <v>264</v>
      </c>
      <c r="K14" s="250" t="e">
        <v>#REF!</v>
      </c>
    </row>
    <row r="15" spans="1:11" ht="15.75" x14ac:dyDescent="0.25">
      <c r="A15" s="266" t="s">
        <v>13</v>
      </c>
      <c r="B15" s="267" t="s">
        <v>48</v>
      </c>
      <c r="C15" s="266" t="s">
        <v>39</v>
      </c>
      <c r="D15" s="258">
        <v>34200</v>
      </c>
      <c r="E15" s="258">
        <v>34200</v>
      </c>
      <c r="F15" s="258"/>
      <c r="G15" s="268">
        <f>Sheet1!F42</f>
        <v>10525</v>
      </c>
      <c r="H15" s="269">
        <v>2900000</v>
      </c>
      <c r="I15" s="248">
        <f t="shared" si="0"/>
        <v>30522500000</v>
      </c>
      <c r="J15" s="249" t="s">
        <v>261</v>
      </c>
      <c r="K15" s="250"/>
    </row>
    <row r="16" spans="1:11" ht="15.75" x14ac:dyDescent="0.25">
      <c r="A16" s="273" t="s">
        <v>13</v>
      </c>
      <c r="B16" s="267" t="s">
        <v>265</v>
      </c>
      <c r="C16" s="273" t="s">
        <v>39</v>
      </c>
      <c r="D16" s="258">
        <v>2000</v>
      </c>
      <c r="E16" s="258">
        <v>5927.4</v>
      </c>
      <c r="F16" s="258">
        <v>362.4</v>
      </c>
      <c r="G16" s="268">
        <f>Sheet1!F43</f>
        <v>0</v>
      </c>
      <c r="H16" s="269">
        <v>1300000</v>
      </c>
      <c r="I16" s="259">
        <f t="shared" si="0"/>
        <v>0</v>
      </c>
      <c r="J16" s="249" t="s">
        <v>261</v>
      </c>
      <c r="K16" s="250"/>
    </row>
    <row r="17" spans="1:11" ht="15.75" x14ac:dyDescent="0.25">
      <c r="A17" s="273" t="s">
        <v>13</v>
      </c>
      <c r="B17" s="267" t="s">
        <v>266</v>
      </c>
      <c r="C17" s="273"/>
      <c r="D17" s="258"/>
      <c r="E17" s="258"/>
      <c r="F17" s="258"/>
      <c r="G17" s="268">
        <f>Sheet1!F44</f>
        <v>2955.4130000000005</v>
      </c>
      <c r="H17" s="269">
        <v>40000000</v>
      </c>
      <c r="I17" s="259">
        <f t="shared" si="0"/>
        <v>118216520000.00002</v>
      </c>
      <c r="J17" s="249" t="s">
        <v>261</v>
      </c>
      <c r="K17" s="250"/>
    </row>
    <row r="18" spans="1:11" ht="15.75" x14ac:dyDescent="0.25">
      <c r="A18" s="273" t="s">
        <v>13</v>
      </c>
      <c r="B18" s="306" t="s">
        <v>63</v>
      </c>
      <c r="C18" s="273"/>
      <c r="D18" s="258"/>
      <c r="E18" s="258"/>
      <c r="F18" s="258"/>
      <c r="G18" s="268">
        <f>Sheet1!F45</f>
        <v>37.5</v>
      </c>
      <c r="H18" s="269">
        <v>60000000</v>
      </c>
      <c r="I18" s="259">
        <f t="shared" si="0"/>
        <v>2250000000</v>
      </c>
      <c r="J18" s="249" t="s">
        <v>261</v>
      </c>
      <c r="K18" s="250"/>
    </row>
    <row r="19" spans="1:11" ht="31.5" x14ac:dyDescent="0.25">
      <c r="A19" s="266" t="s">
        <v>55</v>
      </c>
      <c r="B19" s="274" t="s">
        <v>82</v>
      </c>
      <c r="C19" s="266"/>
      <c r="D19" s="245"/>
      <c r="E19" s="246"/>
      <c r="F19" s="246"/>
      <c r="G19" s="246"/>
      <c r="H19" s="271"/>
      <c r="I19" s="248"/>
      <c r="J19" s="272"/>
      <c r="K19" s="250"/>
    </row>
    <row r="20" spans="1:11" ht="15.75" x14ac:dyDescent="0.25">
      <c r="A20" s="266" t="s">
        <v>13</v>
      </c>
      <c r="B20" s="267" t="s">
        <v>267</v>
      </c>
      <c r="C20" s="266" t="s">
        <v>58</v>
      </c>
      <c r="D20" s="258">
        <v>4191.3500000000004</v>
      </c>
      <c r="E20" s="258">
        <v>4300</v>
      </c>
      <c r="F20" s="258">
        <v>2979.7999999999997</v>
      </c>
      <c r="G20" s="275">
        <f>Sheet1!F56</f>
        <v>425.19800000000009</v>
      </c>
      <c r="H20" s="269">
        <v>100000000</v>
      </c>
      <c r="I20" s="259">
        <f>G20*H20</f>
        <v>42519800000.000008</v>
      </c>
      <c r="J20" s="249" t="s">
        <v>261</v>
      </c>
      <c r="K20" s="250"/>
    </row>
    <row r="21" spans="1:11" ht="15.75" x14ac:dyDescent="0.25">
      <c r="A21" s="276" t="s">
        <v>91</v>
      </c>
      <c r="B21" s="277" t="s">
        <v>92</v>
      </c>
      <c r="C21" s="278"/>
      <c r="D21" s="245"/>
      <c r="E21" s="246"/>
      <c r="F21" s="246"/>
      <c r="G21" s="246"/>
      <c r="H21" s="271"/>
      <c r="I21" s="248"/>
      <c r="J21" s="272"/>
      <c r="K21" s="250"/>
    </row>
    <row r="22" spans="1:11" ht="15.75" x14ac:dyDescent="0.25">
      <c r="A22" s="276" t="s">
        <v>13</v>
      </c>
      <c r="B22" s="279" t="s">
        <v>268</v>
      </c>
      <c r="C22" s="280" t="s">
        <v>58</v>
      </c>
      <c r="D22" s="258">
        <v>375</v>
      </c>
      <c r="E22" s="258">
        <v>375</v>
      </c>
      <c r="F22" s="270">
        <v>45</v>
      </c>
      <c r="G22" s="270">
        <f>Sheet1!F67</f>
        <v>49.748571428571431</v>
      </c>
      <c r="H22" s="269">
        <v>90000000</v>
      </c>
      <c r="I22" s="259">
        <f>G22*H22</f>
        <v>4477371428.5714293</v>
      </c>
      <c r="J22" s="249" t="s">
        <v>261</v>
      </c>
      <c r="K22" s="250"/>
    </row>
    <row r="23" spans="1:11" ht="15.75" x14ac:dyDescent="0.25">
      <c r="A23" s="276" t="s">
        <v>13</v>
      </c>
      <c r="B23" s="279" t="s">
        <v>98</v>
      </c>
      <c r="C23" s="280" t="s">
        <v>58</v>
      </c>
      <c r="D23" s="258">
        <v>75</v>
      </c>
      <c r="E23" s="258">
        <v>75</v>
      </c>
      <c r="F23" s="258">
        <v>219.1</v>
      </c>
      <c r="G23" s="258">
        <f>Sheet1!F68</f>
        <v>165</v>
      </c>
      <c r="H23" s="269">
        <v>90000000</v>
      </c>
      <c r="I23" s="259">
        <f>G23*H23</f>
        <v>14850000000</v>
      </c>
      <c r="J23" s="249" t="s">
        <v>261</v>
      </c>
      <c r="K23" s="250"/>
    </row>
    <row r="24" spans="1:11" ht="15.75" x14ac:dyDescent="0.25">
      <c r="A24" s="263">
        <v>6</v>
      </c>
      <c r="B24" s="244" t="s">
        <v>99</v>
      </c>
      <c r="C24" s="263"/>
      <c r="D24" s="236"/>
      <c r="E24" s="281"/>
      <c r="F24" s="281"/>
      <c r="G24" s="281"/>
      <c r="H24" s="282"/>
      <c r="I24" s="490">
        <f>SUM(I25:I32)</f>
        <v>1338479509664.2856</v>
      </c>
      <c r="J24" s="284"/>
      <c r="K24" s="265"/>
    </row>
    <row r="25" spans="1:11" ht="63" x14ac:dyDescent="0.25">
      <c r="A25" s="276" t="s">
        <v>13</v>
      </c>
      <c r="B25" s="285" t="s">
        <v>100</v>
      </c>
      <c r="C25" s="266" t="s">
        <v>101</v>
      </c>
      <c r="D25" s="270">
        <v>66.150000000000006</v>
      </c>
      <c r="E25" s="270">
        <v>66.150000000000006</v>
      </c>
      <c r="F25" s="270">
        <v>32</v>
      </c>
      <c r="G25" s="228">
        <f>Sheet1!F70</f>
        <v>0</v>
      </c>
      <c r="H25" s="271">
        <v>250000000</v>
      </c>
      <c r="I25" s="248">
        <f t="shared" ref="I25:I31" si="1">G25*H25</f>
        <v>0</v>
      </c>
      <c r="J25" s="286" t="s">
        <v>269</v>
      </c>
      <c r="K25" s="250"/>
    </row>
    <row r="26" spans="1:11" ht="31.5" x14ac:dyDescent="0.25">
      <c r="A26" s="276" t="s">
        <v>13</v>
      </c>
      <c r="B26" s="252" t="s">
        <v>102</v>
      </c>
      <c r="C26" s="266" t="s">
        <v>103</v>
      </c>
      <c r="D26" s="270">
        <v>6.6150000000000002</v>
      </c>
      <c r="E26" s="270">
        <v>6.62</v>
      </c>
      <c r="F26" s="270">
        <v>3.3</v>
      </c>
      <c r="G26" s="228">
        <f>Sheet1!F71</f>
        <v>9.9499999999999993</v>
      </c>
      <c r="H26" s="271">
        <v>100000000</v>
      </c>
      <c r="I26" s="248">
        <f t="shared" si="1"/>
        <v>994999999.99999988</v>
      </c>
      <c r="J26" s="286" t="s">
        <v>270</v>
      </c>
      <c r="K26" s="250"/>
    </row>
    <row r="27" spans="1:11" ht="31.5" x14ac:dyDescent="0.25">
      <c r="A27" s="276" t="s">
        <v>13</v>
      </c>
      <c r="B27" s="252" t="s">
        <v>104</v>
      </c>
      <c r="C27" s="266" t="s">
        <v>58</v>
      </c>
      <c r="D27" s="270">
        <v>945</v>
      </c>
      <c r="E27" s="270">
        <v>945</v>
      </c>
      <c r="F27" s="270">
        <v>239</v>
      </c>
      <c r="G27" s="287">
        <f>Sheet1!F72</f>
        <v>229.47749999999996</v>
      </c>
      <c r="H27" s="271">
        <v>2000000</v>
      </c>
      <c r="I27" s="248">
        <f t="shared" si="1"/>
        <v>458954999.99999994</v>
      </c>
      <c r="J27" s="286" t="s">
        <v>271</v>
      </c>
      <c r="K27" s="250"/>
    </row>
    <row r="28" spans="1:11" ht="94.5" x14ac:dyDescent="0.25">
      <c r="A28" s="276" t="s">
        <v>13</v>
      </c>
      <c r="B28" s="252" t="s">
        <v>272</v>
      </c>
      <c r="C28" s="266" t="s">
        <v>58</v>
      </c>
      <c r="D28" s="270">
        <v>24000</v>
      </c>
      <c r="E28" s="270">
        <v>20000</v>
      </c>
      <c r="F28" s="270">
        <v>4700</v>
      </c>
      <c r="G28" s="287">
        <f>Sheet1!F73</f>
        <v>6014.2857142857147</v>
      </c>
      <c r="H28" s="271">
        <v>8000000</v>
      </c>
      <c r="I28" s="248">
        <f t="shared" si="1"/>
        <v>48114285714.285721</v>
      </c>
      <c r="J28" s="286" t="s">
        <v>296</v>
      </c>
      <c r="K28" s="250"/>
    </row>
    <row r="29" spans="1:11" ht="31.5" x14ac:dyDescent="0.25">
      <c r="A29" s="276" t="s">
        <v>13</v>
      </c>
      <c r="B29" s="252" t="s">
        <v>106</v>
      </c>
      <c r="C29" s="266" t="s">
        <v>58</v>
      </c>
      <c r="D29" s="270">
        <v>16791.71</v>
      </c>
      <c r="E29" s="270">
        <v>16791.71</v>
      </c>
      <c r="F29" s="270">
        <v>5000</v>
      </c>
      <c r="G29" s="287">
        <f>Sheet1!F74</f>
        <v>2525</v>
      </c>
      <c r="H29" s="271">
        <v>49000000</v>
      </c>
      <c r="I29" s="248">
        <f t="shared" si="1"/>
        <v>123725000000</v>
      </c>
      <c r="J29" s="286" t="s">
        <v>273</v>
      </c>
      <c r="K29" s="250"/>
    </row>
    <row r="30" spans="1:11" ht="126" x14ac:dyDescent="0.25">
      <c r="A30" s="276" t="s">
        <v>13</v>
      </c>
      <c r="B30" s="252" t="s">
        <v>274</v>
      </c>
      <c r="C30" s="266" t="s">
        <v>113</v>
      </c>
      <c r="D30" s="270">
        <v>2158.31</v>
      </c>
      <c r="E30" s="270">
        <v>2158.31</v>
      </c>
      <c r="F30" s="270">
        <v>890</v>
      </c>
      <c r="G30" s="287">
        <f>Sheet1!F77</f>
        <v>915</v>
      </c>
      <c r="H30" s="271">
        <v>1221000000</v>
      </c>
      <c r="I30" s="248">
        <f t="shared" si="1"/>
        <v>1117215000000</v>
      </c>
      <c r="J30" s="286" t="s">
        <v>275</v>
      </c>
      <c r="K30" s="250"/>
    </row>
    <row r="31" spans="1:11" ht="110.25" x14ac:dyDescent="0.25">
      <c r="A31" s="276" t="s">
        <v>13</v>
      </c>
      <c r="B31" s="252" t="s">
        <v>114</v>
      </c>
      <c r="C31" s="266" t="s">
        <v>113</v>
      </c>
      <c r="D31" s="270">
        <v>51.61</v>
      </c>
      <c r="E31" s="270">
        <v>51.61</v>
      </c>
      <c r="F31" s="270">
        <v>25.786000000000001</v>
      </c>
      <c r="G31" s="288">
        <f>Sheet1!F78</f>
        <v>36.805</v>
      </c>
      <c r="H31" s="271">
        <v>1303390000</v>
      </c>
      <c r="I31" s="248">
        <f t="shared" si="1"/>
        <v>47971268950</v>
      </c>
      <c r="J31" s="286" t="s">
        <v>276</v>
      </c>
      <c r="K31" s="250"/>
    </row>
    <row r="32" spans="1:11" ht="47.25" x14ac:dyDescent="0.25">
      <c r="A32" s="276" t="s">
        <v>13</v>
      </c>
      <c r="B32" s="252" t="s">
        <v>277</v>
      </c>
      <c r="C32" s="266"/>
      <c r="D32" s="270"/>
      <c r="E32" s="270"/>
      <c r="F32" s="270"/>
      <c r="G32" s="287"/>
      <c r="H32" s="271"/>
      <c r="I32" s="248"/>
      <c r="J32" s="249"/>
      <c r="K32" s="250"/>
    </row>
    <row r="33" spans="1:12" ht="47.25" x14ac:dyDescent="0.25">
      <c r="A33" s="263">
        <v>7</v>
      </c>
      <c r="B33" s="289" t="s">
        <v>115</v>
      </c>
      <c r="C33" s="263" t="s">
        <v>297</v>
      </c>
      <c r="D33" s="253">
        <v>300</v>
      </c>
      <c r="E33" s="253">
        <v>300</v>
      </c>
      <c r="F33" s="253">
        <v>110</v>
      </c>
      <c r="G33" s="290"/>
      <c r="H33" s="282"/>
      <c r="I33" s="283">
        <f>SUM(I34:I37)+I40</f>
        <v>160029110050</v>
      </c>
      <c r="J33" s="227"/>
      <c r="K33" s="265"/>
    </row>
    <row r="34" spans="1:12" ht="141.75" x14ac:dyDescent="0.25">
      <c r="A34" s="291" t="s">
        <v>13</v>
      </c>
      <c r="B34" s="292" t="s">
        <v>278</v>
      </c>
      <c r="C34" s="293"/>
      <c r="D34" s="294"/>
      <c r="E34" s="294"/>
      <c r="F34" s="294"/>
      <c r="G34" s="295"/>
      <c r="H34" s="296"/>
      <c r="I34" s="376">
        <f>27600000000/2</f>
        <v>13800000000</v>
      </c>
      <c r="J34" s="297" t="s">
        <v>279</v>
      </c>
      <c r="K34" s="298"/>
    </row>
    <row r="35" spans="1:12" ht="47.25" x14ac:dyDescent="0.25">
      <c r="A35" s="291" t="s">
        <v>13</v>
      </c>
      <c r="B35" s="292" t="s">
        <v>280</v>
      </c>
      <c r="C35" s="293" t="s">
        <v>133</v>
      </c>
      <c r="D35" s="294"/>
      <c r="E35" s="294"/>
      <c r="F35" s="294"/>
      <c r="G35" s="295">
        <v>12</v>
      </c>
      <c r="H35" s="296">
        <f>3000000000/2</f>
        <v>1500000000</v>
      </c>
      <c r="I35" s="295">
        <f>G35*H35</f>
        <v>18000000000</v>
      </c>
      <c r="J35" s="297" t="s">
        <v>281</v>
      </c>
      <c r="K35" s="298"/>
    </row>
    <row r="36" spans="1:12" ht="63" x14ac:dyDescent="0.25">
      <c r="A36" s="291" t="s">
        <v>13</v>
      </c>
      <c r="B36" s="292" t="s">
        <v>282</v>
      </c>
      <c r="C36" s="293" t="s">
        <v>283</v>
      </c>
      <c r="D36" s="294"/>
      <c r="E36" s="294"/>
      <c r="F36" s="294"/>
      <c r="G36" s="295">
        <f>300000*6</f>
        <v>1800000</v>
      </c>
      <c r="H36" s="296">
        <v>20000</v>
      </c>
      <c r="I36" s="374">
        <f>H36*G36</f>
        <v>36000000000</v>
      </c>
      <c r="J36" s="297" t="s">
        <v>284</v>
      </c>
      <c r="K36" s="298"/>
    </row>
    <row r="37" spans="1:12" ht="47.25" x14ac:dyDescent="0.25">
      <c r="A37" s="291" t="s">
        <v>13</v>
      </c>
      <c r="B37" s="292" t="s">
        <v>285</v>
      </c>
      <c r="C37" s="293"/>
      <c r="D37" s="294"/>
      <c r="E37" s="294"/>
      <c r="F37" s="294"/>
      <c r="G37" s="295"/>
      <c r="H37" s="296"/>
      <c r="I37" s="299">
        <f>I38+I39</f>
        <v>90479110050</v>
      </c>
      <c r="J37" s="297" t="s">
        <v>286</v>
      </c>
      <c r="K37" s="298"/>
    </row>
    <row r="38" spans="1:12" ht="94.5" x14ac:dyDescent="0.25">
      <c r="A38" s="291" t="s">
        <v>37</v>
      </c>
      <c r="B38" s="292" t="s">
        <v>287</v>
      </c>
      <c r="C38" s="293" t="s">
        <v>288</v>
      </c>
      <c r="D38" s="294"/>
      <c r="E38" s="294"/>
      <c r="F38" s="294"/>
      <c r="G38" s="295">
        <f>315*13846</f>
        <v>4361490</v>
      </c>
      <c r="H38" s="296">
        <v>15300</v>
      </c>
      <c r="I38" s="299">
        <f>H38*G38</f>
        <v>66730797000</v>
      </c>
      <c r="J38" s="297" t="s">
        <v>289</v>
      </c>
      <c r="K38" s="298"/>
      <c r="L38" s="377"/>
    </row>
    <row r="39" spans="1:12" ht="110.25" x14ac:dyDescent="0.25">
      <c r="A39" s="291" t="s">
        <v>37</v>
      </c>
      <c r="B39" s="300" t="s">
        <v>290</v>
      </c>
      <c r="C39" s="293" t="s">
        <v>90</v>
      </c>
      <c r="D39" s="294"/>
      <c r="E39" s="294"/>
      <c r="F39" s="294"/>
      <c r="G39" s="301">
        <f>550*13846</f>
        <v>7615300</v>
      </c>
      <c r="H39" s="295">
        <v>8910</v>
      </c>
      <c r="I39" s="299">
        <f>G39*H39*35%</f>
        <v>23748313050</v>
      </c>
      <c r="J39" s="297" t="s">
        <v>291</v>
      </c>
      <c r="K39" s="298"/>
    </row>
    <row r="40" spans="1:12" ht="75" x14ac:dyDescent="0.25">
      <c r="A40" s="291" t="s">
        <v>13</v>
      </c>
      <c r="B40" s="302" t="s">
        <v>292</v>
      </c>
      <c r="C40" s="293"/>
      <c r="D40" s="294"/>
      <c r="E40" s="294"/>
      <c r="F40" s="294"/>
      <c r="G40" s="301"/>
      <c r="H40" s="295"/>
      <c r="I40" s="299">
        <f>3500000000/2</f>
        <v>1750000000</v>
      </c>
      <c r="J40" s="297" t="s">
        <v>293</v>
      </c>
      <c r="K40" s="298"/>
    </row>
    <row r="41" spans="1:12" ht="15.75" x14ac:dyDescent="0.25">
      <c r="A41" s="263">
        <v>8</v>
      </c>
      <c r="B41" s="289" t="s">
        <v>116</v>
      </c>
      <c r="C41" s="266"/>
      <c r="D41" s="303"/>
      <c r="E41" s="246"/>
      <c r="F41" s="246"/>
      <c r="G41" s="229"/>
      <c r="H41" s="271"/>
      <c r="I41" s="283">
        <f>I42</f>
        <v>8840000000</v>
      </c>
      <c r="J41" s="249"/>
      <c r="K41" s="250"/>
    </row>
    <row r="42" spans="1:12" ht="47.25" x14ac:dyDescent="0.25">
      <c r="A42" s="293"/>
      <c r="B42" s="292" t="s">
        <v>294</v>
      </c>
      <c r="C42" s="293" t="s">
        <v>295</v>
      </c>
      <c r="D42" s="304"/>
      <c r="E42" s="305"/>
      <c r="F42" s="305"/>
      <c r="G42" s="301">
        <f>Sheet1!F81</f>
        <v>2600</v>
      </c>
      <c r="H42" s="296">
        <v>3400000</v>
      </c>
      <c r="I42" s="299">
        <f>G42*H42</f>
        <v>8840000000</v>
      </c>
      <c r="J42" s="297" t="s">
        <v>298</v>
      </c>
      <c r="K42" s="298"/>
    </row>
    <row r="43" spans="1:12" x14ac:dyDescent="0.25">
      <c r="I43" s="375"/>
    </row>
  </sheetData>
  <mergeCells count="8">
    <mergeCell ref="I2:I3"/>
    <mergeCell ref="J2:J3"/>
    <mergeCell ref="A2:A3"/>
    <mergeCell ref="B2:B3"/>
    <mergeCell ref="C2:C3"/>
    <mergeCell ref="D2:E2"/>
    <mergeCell ref="G2:G3"/>
    <mergeCell ref="H2:H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bảng tính điều chỉnh</vt:lpstr>
      <vt:lpstr>bảng tính giá trị</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NGHIA</dc:creator>
  <cp:lastModifiedBy>Admin</cp:lastModifiedBy>
  <cp:lastPrinted>2025-10-07T02:49:45Z</cp:lastPrinted>
  <dcterms:created xsi:type="dcterms:W3CDTF">2025-08-05T07:38:34Z</dcterms:created>
  <dcterms:modified xsi:type="dcterms:W3CDTF">2025-10-07T02:49:49Z</dcterms:modified>
</cp:coreProperties>
</file>